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9440" windowHeight="7680" tabRatio="714" firstSheet="1" activeTab="2"/>
  </bookViews>
  <sheets>
    <sheet name="NH" sheetId="4" state="hidden" r:id="rId1"/>
    <sheet name="DS SV CT" sheetId="5" r:id="rId2"/>
    <sheet name="DS SV CT PL257PLHĐĐT-2023" sheetId="17" r:id="rId3"/>
    <sheet name="TRUY TNVK T11" sheetId="8" state="hidden" r:id="rId4"/>
    <sheet name="tRUY t4" sheetId="16" state="hidden" r:id="rId5"/>
    <sheet name="truy đóng BHTN 161" sheetId="12" state="hidden" r:id="rId6"/>
    <sheet name="Sheet1" sheetId="11" state="hidden" r:id="rId7"/>
    <sheet name="Sheet2" sheetId="14" state="hidden" r:id="rId8"/>
  </sheets>
  <definedNames>
    <definedName name="_xlnm.Print_Area" localSheetId="0">NH!$A$1:$H$81</definedName>
    <definedName name="_xlnm.Print_Titles" localSheetId="1">'DS SV CT'!$6:$6</definedName>
    <definedName name="_xlnm.Print_Titles" localSheetId="2">'DS SV CT PL257PLHĐĐT-2023'!$6:$6</definedName>
    <definedName name="_xlnm.Print_Titles" localSheetId="0">NH!$8:$9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0" i="17" l="1"/>
  <c r="F19" i="17"/>
  <c r="F18" i="17"/>
  <c r="F17" i="17"/>
  <c r="F16" i="17"/>
  <c r="F15" i="17"/>
  <c r="F14" i="17"/>
  <c r="F13" i="17"/>
  <c r="F12" i="17"/>
  <c r="F11" i="17"/>
  <c r="F10" i="17"/>
  <c r="F9" i="17"/>
  <c r="F8" i="17"/>
  <c r="F7" i="17"/>
  <c r="F21" i="17"/>
  <c r="F32" i="5" l="1"/>
  <c r="F9" i="5"/>
  <c r="F10" i="5"/>
  <c r="F13" i="5"/>
  <c r="F14" i="5"/>
  <c r="F17" i="5"/>
  <c r="F18" i="5"/>
  <c r="F21" i="5"/>
  <c r="F22" i="5"/>
  <c r="F25" i="5"/>
  <c r="F26" i="5"/>
  <c r="F29" i="5"/>
  <c r="F30" i="5"/>
  <c r="F33" i="5"/>
  <c r="F34" i="5"/>
  <c r="F37" i="5"/>
  <c r="F38" i="5"/>
  <c r="F41" i="5"/>
  <c r="F16" i="5" l="1"/>
  <c r="F24" i="5"/>
  <c r="F40" i="5"/>
  <c r="F8" i="5"/>
  <c r="F35" i="5"/>
  <c r="F19" i="5"/>
  <c r="F27" i="5"/>
  <c r="F11" i="5"/>
  <c r="F39" i="5"/>
  <c r="F31" i="5"/>
  <c r="F23" i="5"/>
  <c r="F15" i="5"/>
  <c r="F7" i="5"/>
  <c r="F36" i="5"/>
  <c r="F28" i="5"/>
  <c r="F20" i="5"/>
  <c r="F12" i="5"/>
  <c r="Y26" i="16"/>
  <c r="L22" i="16"/>
  <c r="W22" i="16" l="1"/>
  <c r="X22" i="16" s="1"/>
  <c r="N35" i="16"/>
  <c r="Q35" i="16"/>
  <c r="T35" i="16"/>
  <c r="V35" i="16"/>
  <c r="Y35" i="16"/>
  <c r="AC35" i="16"/>
  <c r="L35" i="16"/>
  <c r="Z26" i="16"/>
  <c r="AA26" i="16" s="1"/>
  <c r="X26" i="16"/>
  <c r="U26" i="16"/>
  <c r="R26" i="16"/>
  <c r="O26" i="16"/>
  <c r="M26" i="16"/>
  <c r="AA22" i="16"/>
  <c r="U22" i="16"/>
  <c r="R22" i="16"/>
  <c r="O22" i="16"/>
  <c r="M22" i="16"/>
  <c r="A9" i="16"/>
  <c r="M9" i="16"/>
  <c r="O9" i="16"/>
  <c r="R9" i="16"/>
  <c r="U9" i="16"/>
  <c r="W9" i="16"/>
  <c r="X9" i="16" s="1"/>
  <c r="AA9" i="16"/>
  <c r="A10" i="16"/>
  <c r="M10" i="16"/>
  <c r="N10" i="16"/>
  <c r="O10" i="16" s="1"/>
  <c r="R10" i="16"/>
  <c r="U10" i="16"/>
  <c r="AA10" i="16"/>
  <c r="A11" i="16"/>
  <c r="M11" i="16"/>
  <c r="O11" i="16"/>
  <c r="R11" i="16"/>
  <c r="U11" i="16"/>
  <c r="W11" i="16"/>
  <c r="X11" i="16" s="1"/>
  <c r="AA11" i="16"/>
  <c r="A12" i="16"/>
  <c r="M12" i="16"/>
  <c r="O12" i="16"/>
  <c r="W12" i="16"/>
  <c r="X12" i="16" s="1"/>
  <c r="AA12" i="16"/>
  <c r="A13" i="16"/>
  <c r="M13" i="16"/>
  <c r="O13" i="16"/>
  <c r="R13" i="16"/>
  <c r="U13" i="16"/>
  <c r="W13" i="16"/>
  <c r="X13" i="16" s="1"/>
  <c r="AA13" i="16"/>
  <c r="A14" i="16"/>
  <c r="M14" i="16"/>
  <c r="O14" i="16"/>
  <c r="R14" i="16"/>
  <c r="U14" i="16"/>
  <c r="W14" i="16"/>
  <c r="X14" i="16" s="1"/>
  <c r="AA14" i="16"/>
  <c r="A15" i="16"/>
  <c r="M15" i="16"/>
  <c r="O15" i="16"/>
  <c r="R15" i="16"/>
  <c r="T15" i="16"/>
  <c r="U15" i="16" s="1"/>
  <c r="AA15" i="16"/>
  <c r="A16" i="16"/>
  <c r="M16" i="16"/>
  <c r="O16" i="16"/>
  <c r="Q16" i="16"/>
  <c r="R16" i="16" s="1"/>
  <c r="U16" i="16"/>
  <c r="W16" i="16"/>
  <c r="X16" i="16" s="1"/>
  <c r="Z16" i="16"/>
  <c r="AA16" i="16" s="1"/>
  <c r="A17" i="16"/>
  <c r="M17" i="16"/>
  <c r="O17" i="16"/>
  <c r="R17" i="16"/>
  <c r="T17" i="16"/>
  <c r="U17" i="16" s="1"/>
  <c r="AA17" i="16"/>
  <c r="A18" i="16"/>
  <c r="M18" i="16"/>
  <c r="O18" i="16"/>
  <c r="R18" i="16"/>
  <c r="T18" i="16"/>
  <c r="U18" i="16" s="1"/>
  <c r="AA18" i="16"/>
  <c r="A19" i="16"/>
  <c r="M19" i="16"/>
  <c r="O19" i="16"/>
  <c r="R19" i="16"/>
  <c r="U19" i="16"/>
  <c r="W19" i="16"/>
  <c r="X19" i="16" s="1"/>
  <c r="AA19" i="16"/>
  <c r="A20" i="16"/>
  <c r="O20" i="16"/>
  <c r="R20" i="16"/>
  <c r="U20" i="16"/>
  <c r="AA20" i="16"/>
  <c r="A21" i="16"/>
  <c r="M21" i="16"/>
  <c r="O21" i="16"/>
  <c r="R21" i="16"/>
  <c r="U21" i="16"/>
  <c r="W21" i="16"/>
  <c r="X21" i="16" s="1"/>
  <c r="AA21" i="16"/>
  <c r="A23" i="16"/>
  <c r="M23" i="16"/>
  <c r="O23" i="16"/>
  <c r="Q23" i="16"/>
  <c r="R23" i="16" s="1"/>
  <c r="U23" i="16"/>
  <c r="W23" i="16"/>
  <c r="X23" i="16" s="1"/>
  <c r="AA23" i="16"/>
  <c r="A24" i="16"/>
  <c r="M24" i="16"/>
  <c r="O24" i="16"/>
  <c r="R24" i="16"/>
  <c r="U24" i="16"/>
  <c r="W24" i="16"/>
  <c r="X24" i="16" s="1"/>
  <c r="AA24" i="16"/>
  <c r="A25" i="16"/>
  <c r="M25" i="16"/>
  <c r="O25" i="16"/>
  <c r="R25" i="16"/>
  <c r="U25" i="16"/>
  <c r="W25" i="16"/>
  <c r="X25" i="16" s="1"/>
  <c r="AA25" i="16"/>
  <c r="A27" i="16"/>
  <c r="M27" i="16"/>
  <c r="O27" i="16"/>
  <c r="R27" i="16"/>
  <c r="U27" i="16"/>
  <c r="W27" i="16"/>
  <c r="X27" i="16" s="1"/>
  <c r="AA27" i="16"/>
  <c r="A28" i="16"/>
  <c r="M28" i="16"/>
  <c r="O28" i="16"/>
  <c r="R28" i="16"/>
  <c r="U28" i="16"/>
  <c r="W28" i="16"/>
  <c r="X28" i="16" s="1"/>
  <c r="AA28" i="16"/>
  <c r="A29" i="16"/>
  <c r="M29" i="16"/>
  <c r="O29" i="16"/>
  <c r="R29" i="16"/>
  <c r="U29" i="16"/>
  <c r="W29" i="16"/>
  <c r="X29" i="16" s="1"/>
  <c r="AA29" i="16"/>
  <c r="A30" i="16"/>
  <c r="M30" i="16"/>
  <c r="O30" i="16"/>
  <c r="R30" i="16"/>
  <c r="U30" i="16"/>
  <c r="W30" i="16"/>
  <c r="X30" i="16" s="1"/>
  <c r="AA30" i="16"/>
  <c r="A31" i="16"/>
  <c r="M31" i="16"/>
  <c r="O31" i="16"/>
  <c r="R31" i="16"/>
  <c r="U31" i="16"/>
  <c r="W31" i="16"/>
  <c r="X31" i="16" s="1"/>
  <c r="AA31" i="16"/>
  <c r="A32" i="16"/>
  <c r="M32" i="16"/>
  <c r="O32" i="16"/>
  <c r="R32" i="16"/>
  <c r="U32" i="16"/>
  <c r="W32" i="16"/>
  <c r="X32" i="16" s="1"/>
  <c r="AA32" i="16"/>
  <c r="A33" i="16"/>
  <c r="M33" i="16"/>
  <c r="O33" i="16"/>
  <c r="R33" i="16"/>
  <c r="U33" i="16"/>
  <c r="W33" i="16"/>
  <c r="X33" i="16" s="1"/>
  <c r="AA33" i="16"/>
  <c r="A34" i="16"/>
  <c r="M34" i="16"/>
  <c r="O34" i="16"/>
  <c r="R34" i="16"/>
  <c r="U34" i="16"/>
  <c r="W34" i="16"/>
  <c r="X34" i="16" s="1"/>
  <c r="AA34" i="16"/>
  <c r="AE41" i="16"/>
  <c r="V46" i="16"/>
  <c r="X46" i="16"/>
  <c r="AB9" i="16" l="1"/>
  <c r="AE22" i="16"/>
  <c r="R35" i="16"/>
  <c r="L49" i="16" s="1"/>
  <c r="AF12" i="16"/>
  <c r="U35" i="16"/>
  <c r="AE34" i="16"/>
  <c r="AB12" i="16"/>
  <c r="W10" i="16"/>
  <c r="X10" i="16" s="1"/>
  <c r="AB10" i="16" s="1"/>
  <c r="AF9" i="16"/>
  <c r="O35" i="16"/>
  <c r="AA35" i="16"/>
  <c r="AE26" i="16"/>
  <c r="AE35" i="16" s="1"/>
  <c r="X35" i="16"/>
  <c r="L55" i="16" s="1"/>
  <c r="U45" i="16" s="1"/>
  <c r="W35" i="16"/>
  <c r="AB22" i="16"/>
  <c r="AD22" i="16" s="1"/>
  <c r="L52" i="16"/>
  <c r="AB25" i="16"/>
  <c r="AD25" i="16" s="1"/>
  <c r="AB23" i="16"/>
  <c r="AD23" i="16" s="1"/>
  <c r="AE12" i="16"/>
  <c r="AF22" i="16"/>
  <c r="M35" i="16"/>
  <c r="AE28" i="16"/>
  <c r="AE9" i="16"/>
  <c r="AG9" i="16" s="1"/>
  <c r="AH9" i="16" s="1"/>
  <c r="Z35" i="16"/>
  <c r="AF26" i="16"/>
  <c r="AE30" i="16"/>
  <c r="AB29" i="16"/>
  <c r="AF19" i="16"/>
  <c r="AE17" i="16"/>
  <c r="AF14" i="16"/>
  <c r="AE32" i="16"/>
  <c r="AB31" i="16"/>
  <c r="AE24" i="16"/>
  <c r="AF23" i="16"/>
  <c r="AE11" i="16"/>
  <c r="AB26" i="16"/>
  <c r="AE31" i="16"/>
  <c r="AF25" i="16"/>
  <c r="W15" i="16"/>
  <c r="X15" i="16" s="1"/>
  <c r="AB15" i="16" s="1"/>
  <c r="AE21" i="16"/>
  <c r="W17" i="16"/>
  <c r="X17" i="16" s="1"/>
  <c r="AF15" i="16"/>
  <c r="AE13" i="16"/>
  <c r="AE10" i="16"/>
  <c r="AB33" i="16"/>
  <c r="AB27" i="16"/>
  <c r="AE33" i="16"/>
  <c r="AB19" i="16"/>
  <c r="AB14" i="16"/>
  <c r="AE16" i="16"/>
  <c r="AE18" i="16"/>
  <c r="AF10" i="16"/>
  <c r="AG10" i="16" s="1"/>
  <c r="AB34" i="16"/>
  <c r="AF34" i="16"/>
  <c r="AB30" i="16"/>
  <c r="AF30" i="16"/>
  <c r="AG30" i="16" s="1"/>
  <c r="AE29" i="16"/>
  <c r="AB28" i="16"/>
  <c r="AF28" i="16"/>
  <c r="AE27" i="16"/>
  <c r="AF33" i="16"/>
  <c r="AF31" i="16"/>
  <c r="AF29" i="16"/>
  <c r="AF27" i="16"/>
  <c r="AE23" i="16"/>
  <c r="AB21" i="16"/>
  <c r="AF21" i="16"/>
  <c r="M20" i="16"/>
  <c r="W20" i="16"/>
  <c r="X20" i="16" s="1"/>
  <c r="AE19" i="16"/>
  <c r="W18" i="16"/>
  <c r="AB17" i="16"/>
  <c r="AF17" i="16"/>
  <c r="AG17" i="16" s="1"/>
  <c r="AB16" i="16"/>
  <c r="AF16" i="16"/>
  <c r="AG16" i="16" s="1"/>
  <c r="AE15" i="16"/>
  <c r="AE14" i="16"/>
  <c r="AB13" i="16"/>
  <c r="AF13" i="16"/>
  <c r="AB32" i="16"/>
  <c r="AF32" i="16"/>
  <c r="AE25" i="16"/>
  <c r="AB24" i="16"/>
  <c r="AD24" i="16" s="1"/>
  <c r="AF24" i="16"/>
  <c r="AG24" i="16" s="1"/>
  <c r="AF18" i="16"/>
  <c r="AB11" i="16"/>
  <c r="AF11" i="16"/>
  <c r="AG12" i="16" l="1"/>
  <c r="AH12" i="16" s="1"/>
  <c r="AG32" i="16"/>
  <c r="AG13" i="16"/>
  <c r="AH10" i="16"/>
  <c r="AG26" i="16"/>
  <c r="AH26" i="16" s="1"/>
  <c r="AG21" i="16"/>
  <c r="AH21" i="16" s="1"/>
  <c r="AG28" i="16"/>
  <c r="AH28" i="16" s="1"/>
  <c r="AG31" i="16"/>
  <c r="AH31" i="16" s="1"/>
  <c r="AG34" i="16"/>
  <c r="AH34" i="16" s="1"/>
  <c r="AG23" i="16"/>
  <c r="AH23" i="16" s="1"/>
  <c r="AF35" i="16"/>
  <c r="AG22" i="16"/>
  <c r="AG35" i="16" s="1"/>
  <c r="AB41" i="16"/>
  <c r="L42" i="16"/>
  <c r="L43" i="16"/>
  <c r="AB42" i="16"/>
  <c r="AB48" i="16" s="1"/>
  <c r="AB35" i="16"/>
  <c r="AD26" i="16"/>
  <c r="AD35" i="16" s="1"/>
  <c r="AH22" i="16"/>
  <c r="AG25" i="16"/>
  <c r="AH25" i="16" s="1"/>
  <c r="AG14" i="16"/>
  <c r="AH14" i="16" s="1"/>
  <c r="AG15" i="16"/>
  <c r="AH15" i="16" s="1"/>
  <c r="AG19" i="16"/>
  <c r="AH19" i="16" s="1"/>
  <c r="AG33" i="16"/>
  <c r="AH33" i="16" s="1"/>
  <c r="AH16" i="16"/>
  <c r="AG27" i="16"/>
  <c r="AH27" i="16" s="1"/>
  <c r="AG18" i="16"/>
  <c r="AH13" i="16"/>
  <c r="AH17" i="16"/>
  <c r="AE20" i="16"/>
  <c r="AB20" i="16"/>
  <c r="AF20" i="16"/>
  <c r="AG11" i="16"/>
  <c r="AH11" i="16" s="1"/>
  <c r="AH24" i="16"/>
  <c r="AH32" i="16"/>
  <c r="U43" i="16"/>
  <c r="L48" i="16"/>
  <c r="L53" i="16"/>
  <c r="L51" i="16" s="1"/>
  <c r="L50" i="16" s="1"/>
  <c r="X18" i="16"/>
  <c r="AG29" i="16"/>
  <c r="AH29" i="16" s="1"/>
  <c r="AH30" i="16"/>
  <c r="L47" i="16"/>
  <c r="L46" i="16"/>
  <c r="L41" i="16" l="1"/>
  <c r="AB43" i="16"/>
  <c r="AH35" i="16"/>
  <c r="U41" i="16"/>
  <c r="L40" i="16"/>
  <c r="AB44" i="16"/>
  <c r="AB45" i="16"/>
  <c r="AG20" i="16"/>
  <c r="L45" i="16"/>
  <c r="L44" i="16" s="1"/>
  <c r="AB18" i="16"/>
  <c r="AB46" i="16" l="1"/>
  <c r="AH20" i="16"/>
  <c r="L54" i="16"/>
  <c r="U44" i="16"/>
  <c r="AH18" i="16"/>
  <c r="U42" i="16"/>
  <c r="M10" i="8"/>
  <c r="U46" i="16" l="1"/>
  <c r="G33" i="4"/>
  <c r="R72" i="14" l="1"/>
  <c r="T67" i="14"/>
  <c r="T72" i="14" s="1"/>
  <c r="S61" i="14"/>
  <c r="S60" i="14"/>
  <c r="S59" i="14"/>
  <c r="S57" i="14"/>
  <c r="S56" i="14"/>
  <c r="T45" i="14"/>
  <c r="S45" i="14" s="1"/>
  <c r="S44" i="14"/>
  <c r="Q42" i="14"/>
  <c r="P42" i="14"/>
  <c r="Q41" i="14"/>
  <c r="P41" i="14"/>
  <c r="A41" i="14"/>
  <c r="G40" i="14"/>
  <c r="O39" i="14"/>
  <c r="N39" i="14"/>
  <c r="M39" i="14"/>
  <c r="L39" i="14"/>
  <c r="K39" i="14"/>
  <c r="K17" i="14" s="1"/>
  <c r="K16" i="14" s="1"/>
  <c r="J39" i="14"/>
  <c r="J17" i="14" s="1"/>
  <c r="J16" i="14" s="1"/>
  <c r="H39" i="14"/>
  <c r="Q38" i="14"/>
  <c r="P38" i="14"/>
  <c r="A38" i="14"/>
  <c r="Q37" i="14"/>
  <c r="P37" i="14"/>
  <c r="A37" i="14"/>
  <c r="Q36" i="14"/>
  <c r="P36" i="14"/>
  <c r="A36" i="14"/>
  <c r="Q35" i="14"/>
  <c r="P35" i="14"/>
  <c r="A35" i="14"/>
  <c r="Q34" i="14"/>
  <c r="P34" i="14"/>
  <c r="A34" i="14"/>
  <c r="Q33" i="14"/>
  <c r="P33" i="14"/>
  <c r="A33" i="14"/>
  <c r="R32" i="14"/>
  <c r="Q32" i="14"/>
  <c r="P32" i="14"/>
  <c r="G32" i="14"/>
  <c r="Q31" i="14"/>
  <c r="G31" i="14"/>
  <c r="Q30" i="14"/>
  <c r="P30" i="14"/>
  <c r="G30" i="14"/>
  <c r="Q29" i="14"/>
  <c r="P29" i="14"/>
  <c r="G29" i="14"/>
  <c r="Q28" i="14"/>
  <c r="G28" i="14"/>
  <c r="Q27" i="14"/>
  <c r="P27" i="14"/>
  <c r="G27" i="14"/>
  <c r="Q26" i="14"/>
  <c r="P26" i="14"/>
  <c r="G26" i="14"/>
  <c r="Q25" i="14"/>
  <c r="P25" i="14"/>
  <c r="T25" i="14"/>
  <c r="Q24" i="14"/>
  <c r="P24" i="14"/>
  <c r="G24" i="14"/>
  <c r="Q23" i="14"/>
  <c r="P23" i="14"/>
  <c r="G23" i="14"/>
  <c r="G22" i="14"/>
  <c r="P21" i="14"/>
  <c r="G21" i="14"/>
  <c r="P20" i="14"/>
  <c r="G20" i="14"/>
  <c r="P19" i="14"/>
  <c r="T19" i="14"/>
  <c r="P18" i="14"/>
  <c r="A18" i="14"/>
  <c r="M17" i="14"/>
  <c r="I17" i="14"/>
  <c r="L16" i="14"/>
  <c r="M16" i="14" l="1"/>
  <c r="S50" i="14"/>
  <c r="S52" i="14"/>
  <c r="G25" i="14"/>
  <c r="T73" i="14"/>
  <c r="G39" i="14"/>
  <c r="G19" i="14"/>
  <c r="I39" i="14"/>
  <c r="I16" i="14" s="1"/>
  <c r="S42" i="14" l="1"/>
  <c r="T42" i="14" s="1"/>
  <c r="N11" i="8" l="1"/>
  <c r="P11" i="8"/>
  <c r="Q11" i="8"/>
  <c r="Y11" i="8"/>
  <c r="Z11" i="8"/>
  <c r="T9" i="8"/>
  <c r="L9" i="8"/>
  <c r="L11" i="8" s="1"/>
  <c r="AA9" i="8"/>
  <c r="R9" i="8"/>
  <c r="O9" i="8"/>
  <c r="A9" i="8"/>
  <c r="M9" i="8" l="1"/>
  <c r="T11" i="8"/>
  <c r="U9" i="8"/>
  <c r="AC9" i="8" s="1"/>
  <c r="W9" i="8"/>
  <c r="X9" i="8" s="1"/>
  <c r="AD9" i="8" l="1"/>
  <c r="AE9" i="8" s="1"/>
  <c r="AB9" i="8"/>
  <c r="AF9" i="8" l="1"/>
  <c r="AA10" i="8" l="1"/>
  <c r="AA11" i="8" s="1"/>
  <c r="U10" i="8"/>
  <c r="U11" i="8" s="1"/>
  <c r="R10" i="8"/>
  <c r="R11" i="8" s="1"/>
  <c r="O10" i="8"/>
  <c r="O11" i="8" s="1"/>
  <c r="W10" i="8"/>
  <c r="X10" i="8" s="1"/>
  <c r="X11" i="8" l="1"/>
  <c r="W11" i="8"/>
  <c r="M11" i="8"/>
  <c r="O19" i="12"/>
  <c r="H21" i="12"/>
  <c r="AC10" i="8" l="1"/>
  <c r="AD10" i="8"/>
  <c r="AD11" i="8" s="1"/>
  <c r="AB10" i="8"/>
  <c r="AB11" i="8" l="1"/>
  <c r="AE10" i="8"/>
  <c r="AE11" i="8" s="1"/>
  <c r="AC11" i="8"/>
  <c r="D9" i="11"/>
  <c r="E9" i="11" s="1"/>
  <c r="D8" i="11"/>
  <c r="E8" i="11" s="1"/>
  <c r="F8" i="11" s="1"/>
  <c r="E14" i="11"/>
  <c r="K14" i="11" s="1"/>
  <c r="U11" i="12"/>
  <c r="W11" i="12" s="1"/>
  <c r="S12" i="12"/>
  <c r="S13" i="12"/>
  <c r="S11" i="12"/>
  <c r="T13" i="12"/>
  <c r="T12" i="12"/>
  <c r="T11" i="12"/>
  <c r="R14" i="12"/>
  <c r="H25" i="12" s="1"/>
  <c r="O14" i="12"/>
  <c r="H24" i="12" s="1"/>
  <c r="N14" i="12"/>
  <c r="L14" i="12"/>
  <c r="K14" i="12"/>
  <c r="U13" i="12"/>
  <c r="W13" i="12" s="1"/>
  <c r="A13" i="12"/>
  <c r="U12" i="12"/>
  <c r="W12" i="12" s="1"/>
  <c r="A12" i="12"/>
  <c r="A11" i="12"/>
  <c r="U14" i="12" l="1"/>
  <c r="G8" i="11"/>
  <c r="H8" i="11"/>
  <c r="J9" i="11"/>
  <c r="I9" i="11"/>
  <c r="H9" i="11"/>
  <c r="G9" i="11"/>
  <c r="K9" i="11" s="1"/>
  <c r="D20" i="12"/>
  <c r="H20" i="12"/>
  <c r="O17" i="12"/>
  <c r="H19" i="12"/>
  <c r="O18" i="12"/>
  <c r="O22" i="12" s="1"/>
  <c r="S22" i="12" s="1"/>
  <c r="H23" i="12"/>
  <c r="H22" i="12" s="1"/>
  <c r="K8" i="11"/>
  <c r="AF10" i="8"/>
  <c r="AF11" i="8" s="1"/>
  <c r="S14" i="12"/>
  <c r="T14" i="12"/>
  <c r="D19" i="12"/>
  <c r="V14" i="12"/>
  <c r="O20" i="12" l="1"/>
  <c r="H18" i="12"/>
  <c r="S17" i="12" s="1"/>
  <c r="D18" i="12"/>
  <c r="D17" i="12" s="1"/>
  <c r="W14" i="12"/>
  <c r="S19" i="12" s="1"/>
  <c r="H17" i="12" l="1"/>
  <c r="P31" i="14"/>
  <c r="P17" i="14" s="1"/>
  <c r="G18" i="11" l="1"/>
  <c r="E10" i="11"/>
  <c r="E11" i="11"/>
  <c r="K11" i="11" s="1"/>
  <c r="E12" i="11"/>
  <c r="E13" i="11"/>
  <c r="H13" i="11" s="1"/>
  <c r="I13" i="11" l="1"/>
  <c r="J13" i="11"/>
  <c r="F10" i="11"/>
  <c r="G10" i="11"/>
  <c r="F13" i="11"/>
  <c r="G13" i="11"/>
  <c r="F12" i="11"/>
  <c r="L34" i="8"/>
  <c r="H12" i="11"/>
  <c r="I12" i="11"/>
  <c r="G12" i="11"/>
  <c r="K12" i="11" s="1"/>
  <c r="J12" i="11"/>
  <c r="H10" i="11"/>
  <c r="I10" i="11"/>
  <c r="J10" i="11"/>
  <c r="G19" i="11"/>
  <c r="G20" i="11" s="1"/>
  <c r="E15" i="11"/>
  <c r="I8" i="11"/>
  <c r="J8" i="11"/>
  <c r="L21" i="8"/>
  <c r="K13" i="11" l="1"/>
  <c r="K10" i="11"/>
  <c r="K15" i="11" s="1"/>
  <c r="I15" i="11"/>
  <c r="L31" i="8"/>
  <c r="AB20" i="8"/>
  <c r="G15" i="11"/>
  <c r="J15" i="11"/>
  <c r="H15" i="11"/>
  <c r="AB21" i="8" l="1"/>
  <c r="AB27" i="8" s="1"/>
  <c r="AB28" i="8"/>
  <c r="L26" i="8" l="1"/>
  <c r="U24" i="8"/>
  <c r="L28" i="8"/>
  <c r="L25" i="8" l="1"/>
  <c r="L24" i="8" s="1"/>
  <c r="Q34" i="8"/>
  <c r="Q33" i="8" s="1"/>
  <c r="N34" i="8"/>
  <c r="N33" i="8" s="1"/>
  <c r="L33" i="8"/>
  <c r="Q28" i="8"/>
  <c r="Q27" i="8" s="1"/>
  <c r="L27" i="8"/>
  <c r="U22" i="8"/>
  <c r="N28" i="8"/>
  <c r="N27" i="8" s="1"/>
  <c r="L32" i="8"/>
  <c r="L30" i="8" s="1"/>
  <c r="N30" i="8" s="1"/>
  <c r="L22" i="8"/>
  <c r="L20" i="8" s="1"/>
  <c r="N26" i="8"/>
  <c r="Q26" i="8"/>
  <c r="AB24" i="8" l="1"/>
  <c r="AB22" i="8"/>
  <c r="L19" i="8"/>
  <c r="Q25" i="8"/>
  <c r="AD21" i="8"/>
  <c r="AD20" i="8"/>
  <c r="N25" i="8"/>
  <c r="L23" i="8"/>
  <c r="U21" i="8"/>
  <c r="V21" i="8" s="1"/>
  <c r="N24" i="8"/>
  <c r="Q24" i="8"/>
  <c r="AB23" i="8"/>
  <c r="AC23" i="8" s="1"/>
  <c r="Q32" i="8"/>
  <c r="N32" i="8"/>
  <c r="Q21" i="8"/>
  <c r="N21" i="8"/>
  <c r="N31" i="8"/>
  <c r="Q31" i="8"/>
  <c r="X22" i="8"/>
  <c r="V22" i="8"/>
  <c r="X24" i="8"/>
  <c r="V24" i="8"/>
  <c r="U20" i="8"/>
  <c r="N22" i="8"/>
  <c r="Q22" i="8"/>
  <c r="Q23" i="8" l="1"/>
  <c r="N20" i="8"/>
  <c r="N19" i="8" s="1"/>
  <c r="U23" i="8"/>
  <c r="V23" i="8" s="1"/>
  <c r="L29" i="8"/>
  <c r="N29" i="8"/>
  <c r="V20" i="8"/>
  <c r="AC20" i="8"/>
  <c r="AC27" i="8"/>
  <c r="N23" i="8"/>
  <c r="AC21" i="8"/>
  <c r="AD24" i="8"/>
  <c r="AC24" i="8"/>
  <c r="AD23" i="8"/>
  <c r="X21" i="8"/>
  <c r="Q20" i="8"/>
  <c r="Q19" i="8" s="1"/>
  <c r="Q30" i="8"/>
  <c r="Q29" i="8" s="1"/>
  <c r="AC22" i="8"/>
  <c r="AD22" i="8"/>
  <c r="AB25" i="8"/>
  <c r="U25" i="8" l="1"/>
  <c r="V25" i="8"/>
  <c r="X23" i="8"/>
  <c r="AC25" i="8"/>
  <c r="AD27" i="8"/>
  <c r="AD25" i="8"/>
  <c r="X20" i="8"/>
  <c r="X25" i="8" l="1"/>
  <c r="G51" i="4"/>
  <c r="G50" i="4" l="1"/>
  <c r="A12" i="4" l="1"/>
  <c r="A55" i="4"/>
  <c r="A56" i="4"/>
  <c r="A57" i="4"/>
  <c r="A54" i="4"/>
  <c r="A44" i="4"/>
  <c r="A45" i="4"/>
  <c r="A46" i="4"/>
  <c r="A47" i="4"/>
  <c r="A48" i="4"/>
  <c r="A49" i="4"/>
  <c r="A51" i="4"/>
  <c r="A52" i="4"/>
  <c r="P16" i="14" l="1"/>
  <c r="G55" i="4"/>
  <c r="Q18" i="14" l="1"/>
  <c r="Q19" i="14"/>
  <c r="Q21" i="14"/>
  <c r="Q20" i="14"/>
  <c r="H44" i="4"/>
  <c r="H49" i="4" s="1"/>
  <c r="H48" i="4"/>
  <c r="G54" i="4" l="1"/>
  <c r="H18" i="14"/>
  <c r="H17" i="14" s="1"/>
  <c r="H16" i="14" s="1"/>
  <c r="G56" i="4"/>
  <c r="G16" i="4"/>
  <c r="G37" i="4"/>
  <c r="G36" i="4"/>
  <c r="G38" i="4"/>
  <c r="Q17" i="14"/>
  <c r="Q16" i="14"/>
  <c r="R16" i="14" s="1"/>
  <c r="H45" i="4"/>
  <c r="G20" i="4"/>
  <c r="G18" i="14" l="1"/>
  <c r="G17" i="14" s="1"/>
  <c r="G16" i="14" s="1"/>
  <c r="Q15" i="14" s="1"/>
  <c r="G34" i="4"/>
  <c r="G43" i="4"/>
  <c r="R18" i="14"/>
  <c r="R23" i="14"/>
  <c r="R19" i="14"/>
  <c r="G57" i="4"/>
  <c r="G53" i="4" s="1"/>
  <c r="H47" i="4"/>
  <c r="H52" i="4" s="1"/>
  <c r="H46" i="4"/>
  <c r="Q51" i="14" l="1"/>
  <c r="R24" i="14"/>
  <c r="G14" i="4"/>
  <c r="G12" i="4"/>
  <c r="G13" i="4" l="1"/>
  <c r="G15" i="4"/>
  <c r="G17" i="4"/>
  <c r="G18" i="4"/>
  <c r="G19" i="4"/>
  <c r="G21" i="4"/>
  <c r="G22" i="4"/>
  <c r="G23" i="4"/>
  <c r="G24" i="4"/>
  <c r="G25" i="4"/>
  <c r="G26" i="4"/>
  <c r="G27" i="4"/>
  <c r="G28" i="4"/>
  <c r="G29" i="4"/>
  <c r="G30" i="4"/>
  <c r="G31" i="4"/>
  <c r="G32" i="4"/>
  <c r="G35" i="4"/>
  <c r="G11" i="4" l="1"/>
  <c r="G10" i="4" s="1"/>
</calcChain>
</file>

<file path=xl/comments1.xml><?xml version="1.0" encoding="utf-8"?>
<comments xmlns="http://schemas.openxmlformats.org/spreadsheetml/2006/main">
  <authors>
    <author>Windows User</author>
  </authors>
  <commentList>
    <comment ref="S9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6%: 01/11/2021</t>
        </r>
      </text>
    </comment>
    <comment ref="L10" authorId="0">
      <text>
        <r>
          <rPr>
            <b/>
            <sz val="9"/>
            <color indexed="81"/>
            <rFont val="Tahoma"/>
            <family val="2"/>
          </rPr>
          <t xml:space="preserve">Windows User: 
</t>
        </r>
      </text>
    </comment>
  </commentList>
</comments>
</file>

<file path=xl/comments2.xml><?xml version="1.0" encoding="utf-8"?>
<comments xmlns="http://schemas.openxmlformats.org/spreadsheetml/2006/main">
  <authors>
    <author>Windows User</author>
    <author>AutoBVT</author>
  </authors>
  <commentList>
    <comment ref="L9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Tăn từ tháng 2:
5.67-6.10</t>
        </r>
      </text>
    </comment>
    <comment ref="N10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0,7 từ T9/21</t>
        </r>
      </text>
    </comment>
    <comment ref="N12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01/8/2021</t>
        </r>
      </text>
    </comment>
    <comment ref="L13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giảm 5,42 nghỉ việc T5/22</t>
        </r>
      </text>
    </comment>
    <comment ref="N13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giảm 0,5 nghỉ việc T5/22</t>
        </r>
      </text>
    </comment>
    <comment ref="L14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5,42: 01/2/22</t>
        </r>
      </text>
    </comment>
    <comment ref="S15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17%: 01/9/21</t>
        </r>
      </text>
    </comment>
    <comment ref="L16" authorId="1">
      <text>
        <r>
          <rPr>
            <b/>
            <sz val="9"/>
            <color indexed="81"/>
            <rFont val="Tahoma"/>
            <family val="2"/>
          </rPr>
          <t xml:space="preserve">1/5/2021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16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giảm 0,3 PCCV từ 1/5/22</t>
        </r>
      </text>
    </comment>
    <comment ref="Y16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20% 01/8/21</t>
        </r>
      </text>
    </comment>
    <comment ref="S17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6%: 01/11/2021</t>
        </r>
      </text>
    </comment>
    <comment ref="S18" authorId="1">
      <text>
        <r>
          <rPr>
            <b/>
            <sz val="9"/>
            <color indexed="81"/>
            <rFont val="Tahoma"/>
            <family val="2"/>
          </rPr>
          <t xml:space="preserve">1/1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20" authorId="0">
      <text>
        <r>
          <rPr>
            <b/>
            <sz val="9"/>
            <color indexed="81"/>
            <rFont val="Tahoma"/>
            <family val="2"/>
          </rPr>
          <t xml:space="preserve">Windows User: 
4,65:  01/11/2021
</t>
        </r>
      </text>
    </comment>
    <comment ref="L22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4,32 trước hạn từ t1/12/21. QĐ 561 ngày 27/4/22</t>
        </r>
      </text>
    </comment>
    <comment ref="Q23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0,2 từ 7/2021</t>
        </r>
      </text>
    </comment>
    <comment ref="L25" authorId="1">
      <text>
        <r>
          <rPr>
            <b/>
            <sz val="9"/>
            <color indexed="81"/>
            <rFont val="Tahoma"/>
            <family val="2"/>
          </rPr>
          <t>01/4/2021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Y26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7% 1/4/2022</t>
        </r>
      </text>
    </comment>
    <comment ref="L27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3,0: 01/7/21</t>
        </r>
      </text>
    </comment>
    <comment ref="M31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50% lương</t>
        </r>
      </text>
    </comment>
    <comment ref="AB41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Mẫn ko đóng BHXH
trừ lại 17,5% Mẫn T1,2,3/22</t>
        </r>
      </text>
    </comment>
    <comment ref="AE41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trừ lại 17,5% BHXH Mẫn T1,2,3/22</t>
        </r>
      </text>
    </comment>
    <comment ref="L42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Phan Minh Mẫn hưởng 50% lương, không đóng 8% BHXH</t>
        </r>
      </text>
    </comment>
    <comment ref="AB42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Mẫn ko đóng BHXH </t>
        </r>
      </text>
    </comment>
  </commentList>
</comments>
</file>

<file path=xl/sharedStrings.xml><?xml version="1.0" encoding="utf-8"?>
<sst xmlns="http://schemas.openxmlformats.org/spreadsheetml/2006/main" count="835" uniqueCount="397">
  <si>
    <t>UBND TỈNH TÂY NINH</t>
  </si>
  <si>
    <t>CỘNG HÒA XÃ HỘI CHỦ NGHĨA VIỆT NAM</t>
  </si>
  <si>
    <t>SỞ Y TẾ</t>
  </si>
  <si>
    <t>Độc lập - Tự do - Hạnh phúc</t>
  </si>
  <si>
    <t>đồng</t>
  </si>
  <si>
    <t>Loại 341</t>
  </si>
  <si>
    <t>STT</t>
  </si>
  <si>
    <t>Họ và tên</t>
  </si>
  <si>
    <t>Năm sinh</t>
  </si>
  <si>
    <t>Năm tuyển dụng công chức</t>
  </si>
  <si>
    <t>Chức danh</t>
  </si>
  <si>
    <t>Mã số ngạch chức danh</t>
  </si>
  <si>
    <t>Bậc</t>
  </si>
  <si>
    <t>Hệ số</t>
  </si>
  <si>
    <t>Tổng lương</t>
  </si>
  <si>
    <t>9,5%
 (BHXH, BHYT)</t>
  </si>
  <si>
    <t>PC Công vụ</t>
  </si>
  <si>
    <t>Nam</t>
  </si>
  <si>
    <t>Nữ</t>
  </si>
  <si>
    <t>Hoa Công Hậu</t>
  </si>
  <si>
    <t>Giám đốc</t>
  </si>
  <si>
    <t>01.002</t>
  </si>
  <si>
    <t>5/8</t>
  </si>
  <si>
    <t>Nguyễn Văn Cường</t>
  </si>
  <si>
    <t>P.Giám đốc</t>
  </si>
  <si>
    <t>8/8</t>
  </si>
  <si>
    <t>Trần Văn Sỹ</t>
  </si>
  <si>
    <t>Đỗ Hồng Sơn</t>
  </si>
  <si>
    <t>Trịnh Thị Hà</t>
  </si>
  <si>
    <t>TP.TCKT</t>
  </si>
  <si>
    <t>3/8</t>
  </si>
  <si>
    <t>Đặng Thị Kề</t>
  </si>
  <si>
    <t>TP.QLD</t>
  </si>
  <si>
    <t>Nguyễn Minh Trí</t>
  </si>
  <si>
    <t>Tài xế</t>
  </si>
  <si>
    <t>01.010</t>
  </si>
  <si>
    <t>12/12</t>
  </si>
  <si>
    <t>Trương Văn Quang</t>
  </si>
  <si>
    <t>P. CTTra</t>
  </si>
  <si>
    <t>04.025</t>
  </si>
  <si>
    <t>8/9</t>
  </si>
  <si>
    <t>Tô Thị Minh Tuệ</t>
  </si>
  <si>
    <t>PP.TCCB</t>
  </si>
  <si>
    <t>01.003</t>
  </si>
  <si>
    <t>9/9</t>
  </si>
  <si>
    <t>Phạm Vinh</t>
  </si>
  <si>
    <t>Chuyên viên</t>
  </si>
  <si>
    <t>Nguyễn Văn Trung</t>
  </si>
  <si>
    <t>Nguyễn Thị Như Hà</t>
  </si>
  <si>
    <t>PP.NVY</t>
  </si>
  <si>
    <t>Trần Hà Linh Trang</t>
  </si>
  <si>
    <t>6/9</t>
  </si>
  <si>
    <t>Trương Thái Thanh Vy</t>
  </si>
  <si>
    <t>3/9</t>
  </si>
  <si>
    <t>Mai Chí Linh</t>
  </si>
  <si>
    <t>Đặng Ngọc Tuyết Mai</t>
  </si>
  <si>
    <t>4/9</t>
  </si>
  <si>
    <t>Trần Mộng Thùy</t>
  </si>
  <si>
    <t>TP.NVY</t>
  </si>
  <si>
    <t>Huỳnh Thị Cẩm Hồng</t>
  </si>
  <si>
    <t>Phạm Bảo Trường</t>
  </si>
  <si>
    <t>Chánh TTra</t>
  </si>
  <si>
    <t>Lê Đặng Minh Đạo</t>
  </si>
  <si>
    <t>2/9</t>
  </si>
  <si>
    <t>Nguyễn Thành Tâm</t>
  </si>
  <si>
    <t>Chánh VP</t>
  </si>
  <si>
    <t>7/9</t>
  </si>
  <si>
    <t>Lê Thanh Long</t>
  </si>
  <si>
    <t>Phan Nguyệt Hà</t>
  </si>
  <si>
    <t>Mai Trương Thanh Phương</t>
  </si>
  <si>
    <t>Lê Thị Hoàng Cầm</t>
  </si>
  <si>
    <t>5/9</t>
  </si>
  <si>
    <t>TỔNG CỘNG</t>
  </si>
  <si>
    <t>Phân tích</t>
  </si>
  <si>
    <t>Lê Hải Phương</t>
  </si>
  <si>
    <t>Bảo vệ</t>
  </si>
  <si>
    <t>01.011</t>
  </si>
  <si>
    <t>Võ Hữu Phúc</t>
  </si>
  <si>
    <t>Nguyễn Văn Hiểu</t>
  </si>
  <si>
    <t>Tạp vụ</t>
  </si>
  <si>
    <t>01.009</t>
  </si>
  <si>
    <t>4/12</t>
  </si>
  <si>
    <t>HỌ VÀ TÊN</t>
  </si>
  <si>
    <t>MÃ 
NGẠCH</t>
  </si>
  <si>
    <t>LƯƠNG</t>
  </si>
  <si>
    <t>CÁC KHOẢN PHỤ CẤP</t>
  </si>
  <si>
    <t>Tổng cộng</t>
  </si>
  <si>
    <t>CÁC KHOẢN TRỪ VÀO LƯƠNG</t>
  </si>
  <si>
    <t>Tổng số tiền lương còn được nhận</t>
  </si>
  <si>
    <t>Tiền lương</t>
  </si>
  <si>
    <t>Chức vụ</t>
  </si>
  <si>
    <t>Trách nhiệm</t>
  </si>
  <si>
    <t>Thâm niên vượt khung</t>
  </si>
  <si>
    <t>Thâm niên nghề</t>
  </si>
  <si>
    <t>BHYT
 1,5%</t>
  </si>
  <si>
    <t>BHXH 
8%</t>
  </si>
  <si>
    <t>Tổng cộng các khoản Bảo hiểm</t>
  </si>
  <si>
    <t xml:space="preserve">Hệ số </t>
  </si>
  <si>
    <t>Phụ cấp</t>
  </si>
  <si>
    <t xml:space="preserve">Mức </t>
  </si>
  <si>
    <t>Mức</t>
  </si>
  <si>
    <t>A</t>
  </si>
  <si>
    <t>B</t>
  </si>
  <si>
    <t>C</t>
  </si>
  <si>
    <t>D</t>
  </si>
  <si>
    <t>2 = 1 *LTT</t>
  </si>
  <si>
    <t>4 =3*LTT</t>
  </si>
  <si>
    <t>PC công vụ</t>
  </si>
  <si>
    <t>Chuyển khoản lương</t>
  </si>
  <si>
    <t>Chuyển khoản BHXH, BHYT,BHTN</t>
  </si>
  <si>
    <t>(17.5%)</t>
  </si>
  <si>
    <t>3321 ( 8%)</t>
  </si>
  <si>
    <t>(3%)</t>
  </si>
  <si>
    <t>3322 (1,5%)</t>
  </si>
  <si>
    <t>Chuyển khoản KPCĐ</t>
  </si>
  <si>
    <t>(2%)</t>
  </si>
  <si>
    <t>Ghi chú</t>
  </si>
  <si>
    <t>Thủ trưởng đơn vị</t>
  </si>
  <si>
    <t>(8%+1,5%)</t>
  </si>
  <si>
    <t>Tiền PCVK</t>
  </si>
  <si>
    <t>Phụ cấp vượt khung</t>
  </si>
  <si>
    <t>Phụ cấp công vụ</t>
  </si>
  <si>
    <t xml:space="preserve">Chuyển khoản lương    </t>
  </si>
  <si>
    <t>BHXH</t>
  </si>
  <si>
    <t>6301 (17.5%)</t>
  </si>
  <si>
    <t>BHYT</t>
  </si>
  <si>
    <t>6302 (3%)</t>
  </si>
  <si>
    <t>Chuyển khoản BHXH,BHYT,BHTN</t>
  </si>
  <si>
    <t>3321 (8%)</t>
  </si>
  <si>
    <t>3322 (1.5%)</t>
  </si>
  <si>
    <t>Chuyển khoản KPCĐ</t>
  </si>
  <si>
    <t>KPCĐ</t>
  </si>
  <si>
    <t>6303 (2%)</t>
  </si>
  <si>
    <t>E</t>
  </si>
  <si>
    <t>G</t>
  </si>
  <si>
    <t>H</t>
  </si>
  <si>
    <t>7 =6*LTT</t>
  </si>
  <si>
    <t>9 =(1*8)</t>
  </si>
  <si>
    <t>10=9*LTT</t>
  </si>
  <si>
    <t>12=(1+3+8)*10</t>
  </si>
  <si>
    <t>13=12*LTT</t>
  </si>
  <si>
    <t>15=(1+3+8)*14</t>
  </si>
  <si>
    <t>16=15*LTT</t>
  </si>
  <si>
    <t>17=2+4+7+10+13+16</t>
  </si>
  <si>
    <t>18=(2+4+10+16)*1.5%</t>
  </si>
  <si>
    <t>19=(2+4+10+16)*8%</t>
  </si>
  <si>
    <t>20=18+19</t>
  </si>
  <si>
    <t>21 = 17 - 20</t>
  </si>
  <si>
    <t>Lương tối thiểu: 1,490,000</t>
  </si>
  <si>
    <t>LƯƠNG : 6001</t>
  </si>
  <si>
    <t>PCCV:  6101</t>
  </si>
  <si>
    <t>PCTN: 6113</t>
  </si>
  <si>
    <t>PCVK,PCTNN : 6115</t>
  </si>
  <si>
    <t>334- Lương</t>
  </si>
  <si>
    <t>334- PCVK</t>
  </si>
  <si>
    <t>334- PC công vụ</t>
  </si>
  <si>
    <t>PC công vụ : 6124</t>
  </si>
  <si>
    <t xml:space="preserve">Ghi chú: </t>
  </si>
  <si>
    <r>
      <t xml:space="preserve">Đơn vị: </t>
    </r>
    <r>
      <rPr>
        <b/>
        <sz val="11"/>
        <rFont val="Times New Roman"/>
        <family val="1"/>
      </rPr>
      <t>VĂN PHÒNG SỞ Y TẾ TÂY NINH</t>
    </r>
  </si>
  <si>
    <r>
      <t xml:space="preserve">MSQHNS: </t>
    </r>
    <r>
      <rPr>
        <b/>
        <sz val="11"/>
        <rFont val="Times New Roman"/>
        <family val="1"/>
      </rPr>
      <t>1031070</t>
    </r>
  </si>
  <si>
    <t>DANH SÁCH CHUYỂN LƯƠNG VÀ PHỤ CẤP QUA TÀI KHOẢN CÁ NHÂN</t>
  </si>
  <si>
    <t>Tài khoản Ngân hàng</t>
  </si>
  <si>
    <t>Tổng số</t>
  </si>
  <si>
    <t>Số CMND</t>
  </si>
  <si>
    <t>Số tài khoản người hưởng</t>
  </si>
  <si>
    <t>Tên ngân hàng</t>
  </si>
  <si>
    <t>I</t>
  </si>
  <si>
    <t>Đối với công chức viên chức</t>
  </si>
  <si>
    <t>NN &amp; PTNT Tây Ninh</t>
  </si>
  <si>
    <t>072062001037</t>
  </si>
  <si>
    <t>TP.KHTC</t>
  </si>
  <si>
    <t>TP.NV</t>
  </si>
  <si>
    <t>PC.VP</t>
  </si>
  <si>
    <t>017064000037</t>
  </si>
  <si>
    <t>PP.NV</t>
  </si>
  <si>
    <t>072074000586</t>
  </si>
  <si>
    <t>TP.QLHN</t>
  </si>
  <si>
    <t>072170003255</t>
  </si>
  <si>
    <t>CTTra</t>
  </si>
  <si>
    <t>072070001862</t>
  </si>
  <si>
    <t>CVP</t>
  </si>
  <si>
    <t>Phan Minh Mẫn</t>
  </si>
  <si>
    <t>CV- Thủ quỹ</t>
  </si>
  <si>
    <t>Viettinbank-CN Tây Ninh</t>
  </si>
  <si>
    <t>Lê Minh Cảnh</t>
  </si>
  <si>
    <t>Nguyễn Tấn Hùng</t>
  </si>
  <si>
    <t>Nguyễn Nghiêm Trang</t>
  </si>
  <si>
    <t>072190003666</t>
  </si>
  <si>
    <t>Nguyễn Thị Thanh Thoảng</t>
  </si>
  <si>
    <t>Phạm Văn Nam</t>
  </si>
  <si>
    <t xml:space="preserve">Công đoàn </t>
  </si>
  <si>
    <t>072064000667</t>
  </si>
  <si>
    <t>Nguyễn Thanh Bình</t>
  </si>
  <si>
    <t>084070000058</t>
  </si>
  <si>
    <t>Nguyễn Thị Thanh Tuyền</t>
  </si>
  <si>
    <t>072173000309</t>
  </si>
  <si>
    <t>Lưu Thị Xuân</t>
  </si>
  <si>
    <t>0171706604</t>
  </si>
  <si>
    <t>Võ Thị Hồng Thắm</t>
  </si>
  <si>
    <t>II</t>
  </si>
  <si>
    <t>052064000102</t>
  </si>
  <si>
    <t>XÁC NHẬN CỦA NGÂN HÀNG</t>
  </si>
  <si>
    <t xml:space="preserve">       Kế toán                     Kiểm soát</t>
  </si>
  <si>
    <t>Kế toán</t>
  </si>
  <si>
    <t>Mẫu số 09</t>
  </si>
  <si>
    <t>Mã hiệu: ………….....</t>
  </si>
  <si>
    <t>Số: …………………...</t>
  </si>
  <si>
    <t>BẢNG THANH TOÁN CHO ĐỐI TƯỢNG THỤ HƯỞNG</t>
  </si>
  <si>
    <r>
      <t xml:space="preserve">Tài khoản dự toán </t>
    </r>
    <r>
      <rPr>
        <b/>
        <sz val="10"/>
        <color indexed="8"/>
        <rFont val="Wingdings 2"/>
        <family val="1"/>
        <charset val="2"/>
      </rPr>
      <t>£</t>
    </r>
    <r>
      <rPr>
        <b/>
        <sz val="10"/>
        <color indexed="8"/>
        <rFont val="Arial"/>
        <family val="2"/>
      </rPr>
      <t xml:space="preserve"> </t>
    </r>
  </si>
  <si>
    <r>
      <t xml:space="preserve">Tài khoản tiền gửi: </t>
    </r>
    <r>
      <rPr>
        <b/>
        <sz val="10"/>
        <color indexed="8"/>
        <rFont val="Wingdings 2"/>
        <family val="1"/>
        <charset val="2"/>
      </rPr>
      <t>£</t>
    </r>
  </si>
  <si>
    <t>1. Đơn vị sử dụng ngân sách: Văn phòng Sở Y tế  Tây Ninh</t>
  </si>
  <si>
    <t>2. Mã đơn vị: 1031070</t>
  </si>
  <si>
    <t>Trong đó</t>
  </si>
  <si>
    <t>Lương và phụ cấp theo lương</t>
  </si>
  <si>
    <t>Tiền công lao động thường xuyên theo hợp đồng</t>
  </si>
  <si>
    <t>Tiền thu nhập tăng thêm</t>
  </si>
  <si>
    <t>Tiền thưởng</t>
  </si>
  <si>
    <t>Tiền học bổng</t>
  </si>
  <si>
    <t>Kế toán trường</t>
  </si>
  <si>
    <t>Kế toán trưởng</t>
  </si>
  <si>
    <t>CCTL</t>
  </si>
  <si>
    <t>KHO BẠC NHÀ NƯỚC</t>
  </si>
  <si>
    <t>Chuyên viên kiểm soát chi/Giao dịch viên</t>
  </si>
  <si>
    <t>Giám đốc KBNN cấp tỉnh hoặc lãnh đạo phòng</t>
  </si>
  <si>
    <t>được ủy quyền/Giám đốc KBNN quận, huyện</t>
  </si>
  <si>
    <t>CTP</t>
  </si>
  <si>
    <t>ĐT</t>
  </si>
  <si>
    <t xml:space="preserve">Nguyễn Văn </t>
  </si>
  <si>
    <t>Cường</t>
  </si>
  <si>
    <t xml:space="preserve">Đỗ Hồng </t>
  </si>
  <si>
    <t>Sơn</t>
  </si>
  <si>
    <t xml:space="preserve">Trịnh Thị </t>
  </si>
  <si>
    <t>Hà</t>
  </si>
  <si>
    <t xml:space="preserve">Đặng Thị </t>
  </si>
  <si>
    <t>Kề</t>
  </si>
  <si>
    <t xml:space="preserve">Nguyễn Minh </t>
  </si>
  <si>
    <t>Trí</t>
  </si>
  <si>
    <t xml:space="preserve">Trương Văn </t>
  </si>
  <si>
    <t>Quang</t>
  </si>
  <si>
    <t xml:space="preserve">Phạm </t>
  </si>
  <si>
    <t>Vinh</t>
  </si>
  <si>
    <t>Trung</t>
  </si>
  <si>
    <t xml:space="preserve">Nguyễn Thị Như </t>
  </si>
  <si>
    <t xml:space="preserve">Trần Hà Linh </t>
  </si>
  <si>
    <t>Trang</t>
  </si>
  <si>
    <t xml:space="preserve">Trương Thái Thanh </t>
  </si>
  <si>
    <t>Vy</t>
  </si>
  <si>
    <t xml:space="preserve">Mai Chí </t>
  </si>
  <si>
    <t>Linh</t>
  </si>
  <si>
    <t xml:space="preserve">Đặng Ngọc Tuyết </t>
  </si>
  <si>
    <t>Mai</t>
  </si>
  <si>
    <t xml:space="preserve">Trần Mộng </t>
  </si>
  <si>
    <t>Thùy</t>
  </si>
  <si>
    <t xml:space="preserve">Huỳnh Thị Cẩm </t>
  </si>
  <si>
    <t>Hồng</t>
  </si>
  <si>
    <t xml:space="preserve">Phạm Bảo </t>
  </si>
  <si>
    <t>Trường</t>
  </si>
  <si>
    <t xml:space="preserve">Lê Đặng Minh </t>
  </si>
  <si>
    <t>Đạo</t>
  </si>
  <si>
    <t xml:space="preserve">Nguyễn Thành </t>
  </si>
  <si>
    <t>Tâm</t>
  </si>
  <si>
    <t xml:space="preserve">Lê Thanh </t>
  </si>
  <si>
    <t>Long</t>
  </si>
  <si>
    <t xml:space="preserve">Phan Nguyệt </t>
  </si>
  <si>
    <t xml:space="preserve">Phan Minh </t>
  </si>
  <si>
    <t>Mẩn</t>
  </si>
  <si>
    <t xml:space="preserve">Mai Trương Thanh </t>
  </si>
  <si>
    <t>Phương</t>
  </si>
  <si>
    <t xml:space="preserve">Lê Minh  </t>
  </si>
  <si>
    <t xml:space="preserve">Cảnh </t>
  </si>
  <si>
    <t xml:space="preserve">Lê Thị Hoàng </t>
  </si>
  <si>
    <t>Cầm</t>
  </si>
  <si>
    <t xml:space="preserve">Lê Hải </t>
  </si>
  <si>
    <t>Hiểu</t>
  </si>
  <si>
    <t>Lương tối thiểu: 1.490.000đ</t>
  </si>
  <si>
    <t>Phó phòng</t>
  </si>
  <si>
    <t>(Hợp đồng lao động theo Nghị định 161/2018/NĐ-CP)</t>
  </si>
  <si>
    <t>Hợp đồng 161</t>
  </si>
  <si>
    <t>KT. GIÁM ĐỐC</t>
  </si>
  <si>
    <t>PHÓ GIÁM ĐỐC</t>
  </si>
  <si>
    <t>KT.GIÁM ĐỐC</t>
  </si>
  <si>
    <t xml:space="preserve">      KT. GIÁM ĐỐC</t>
  </si>
  <si>
    <t xml:space="preserve">       SỞ Y TẾ</t>
  </si>
  <si>
    <t>3. Tài khoản thanh toán của đơn vị mở tại ngân hàng thương mại: số tài khoản 5700201015577 tại Ngân hàng Nông nghiệp và Phát triển Nông thôn Tây Ninh</t>
  </si>
  <si>
    <t xml:space="preserve">Đào Thị </t>
  </si>
  <si>
    <t>Lan</t>
  </si>
  <si>
    <t>Đào Thị Lan</t>
  </si>
  <si>
    <t>Ngày...    ... tháng...     .. năm 2021</t>
  </si>
  <si>
    <t>Chuyển lương, PC tháng 04</t>
  </si>
  <si>
    <t>III</t>
  </si>
  <si>
    <t>Quỹ người nghèo</t>
  </si>
  <si>
    <t>Đối với lao động thường xuyên theo hợp đồng</t>
  </si>
  <si>
    <t>Số tiền bằng chữ: Hai trăm năm mươi triệu chín trăm ba mươi lăm nghìn bảy trăm năm mươi lăm đồng.</t>
  </si>
  <si>
    <t>THÁNG 05/2021</t>
  </si>
  <si>
    <t xml:space="preserve">     PHÓ GIÁM ĐỐC</t>
  </si>
  <si>
    <t>Tiền phụ cấp
 và trợ cấp
 khác</t>
  </si>
  <si>
    <t>Người lập</t>
  </si>
  <si>
    <t>Đặng Thị Ngọc Hiền</t>
  </si>
  <si>
    <t xml:space="preserve">Đàm Văn </t>
  </si>
  <si>
    <t>Ghi
 chú</t>
  </si>
  <si>
    <t xml:space="preserve">Người lập </t>
  </si>
  <si>
    <t>Đàm Văn Cường</t>
  </si>
  <si>
    <t>66110000125646</t>
  </si>
  <si>
    <t xml:space="preserve"> BIDV- CN Tây Ninh</t>
  </si>
  <si>
    <t>Tiền khoán Công tác phí</t>
  </si>
  <si>
    <t>Đối với hợp đồng lao động theo NĐ 161/2018/NĐ-CP</t>
  </si>
  <si>
    <t>Số tháng</t>
  </si>
  <si>
    <t>T8</t>
  </si>
  <si>
    <t>T9</t>
  </si>
  <si>
    <t>LUONG BC</t>
  </si>
  <si>
    <t>HD 161</t>
  </si>
  <si>
    <t>K.CTP</t>
  </si>
  <si>
    <t>HD KHAC</t>
  </si>
  <si>
    <t xml:space="preserve">Tổng cộng </t>
  </si>
  <si>
    <t>cv</t>
  </si>
  <si>
    <t>tnhiem</t>
  </si>
  <si>
    <t>vk</t>
  </si>
  <si>
    <t>nghe</t>
  </si>
  <si>
    <t>cong vu</t>
  </si>
  <si>
    <t xml:space="preserve">giảm 71,200đ </t>
  </si>
  <si>
    <t xml:space="preserve">Giảm 800,000đ </t>
  </si>
  <si>
    <t>Giảm PCCV, 
khoánĐT 738,380đ</t>
  </si>
  <si>
    <t>1% BHTN</t>
  </si>
  <si>
    <t>3324 (1%)</t>
  </si>
  <si>
    <t>BHTN</t>
  </si>
  <si>
    <t>6304 (1%)</t>
  </si>
  <si>
    <t>Số tháng tính đóng</t>
  </si>
  <si>
    <t>Từ tháng 8/2020 đến T10/2021</t>
  </si>
  <si>
    <t>BẢNG TRUY ĐÓNG BẢO HIỂM THẤT NGHIỆP TỪ THÁNG 8/2020 ĐẾN THÁNG 10/2021</t>
  </si>
  <si>
    <t>Từ tháng 01/2021 đến T10/2021</t>
  </si>
  <si>
    <t xml:space="preserve">luong </t>
  </si>
  <si>
    <t xml:space="preserve">luong Mẫn </t>
  </si>
  <si>
    <t>Ngày     tháng 11 năm 2021</t>
  </si>
  <si>
    <t>Số tiền phải đóng 
1% BHTN</t>
  </si>
  <si>
    <t>Ngày      tháng 12 năm 2021</t>
  </si>
  <si>
    <t>Tây Ninh, ngày         tháng 12 năm 2021</t>
  </si>
  <si>
    <t xml:space="preserve">BẢNG THANH TOÁN LƯƠNG VÀ PHỤ CẤP LƯƠNG THÁNG 12 NĂM 2021 </t>
  </si>
  <si>
    <t>Truy lương T11/2021</t>
  </si>
  <si>
    <t>Truy TNVK 
T11/2021</t>
  </si>
  <si>
    <t>(Kèm theo Giấy rút dự toán/Ủy nhiệm chi số:              ngày         tháng 12 năm 2021)</t>
  </si>
  <si>
    <t>I. Nội dung đề nghị thanh toán: Khoán CTP tháng 12/2021.</t>
  </si>
  <si>
    <t>Số tiền bằng chữ: Ba triệu một trăm ngàn đồng.</t>
  </si>
  <si>
    <t xml:space="preserve">II. Phần thuyết minh thay đổi so với tháng trước: </t>
  </si>
  <si>
    <t>Chuyển lương, PC tháng 01, 02, Tiền tết</t>
  </si>
  <si>
    <t>Tổng số tiền lương còn được nhận/tháng</t>
  </si>
  <si>
    <t>Tổng cộng lương/tháng</t>
  </si>
  <si>
    <t>20=(2+4+10+16)*1.5%</t>
  </si>
  <si>
    <t>21=(2+4+10+16)*8%</t>
  </si>
  <si>
    <t>23 = 19 - 22</t>
  </si>
  <si>
    <t>22=20+21</t>
  </si>
  <si>
    <t>TuyTNN T4/22</t>
  </si>
  <si>
    <t>BẢNG THANH TOÁN LƯƠNG VÀ PHỤ CẤP LƯƠNG THÁNG 05 NĂM 2022</t>
  </si>
  <si>
    <t>Truy nâng lương trước hạn. 
QĐ 561 ngày 27/4/22 từ T12/2021 đến T4/2022</t>
  </si>
  <si>
    <t xml:space="preserve">     Ngày          tháng 05 năm 2022</t>
  </si>
  <si>
    <t>TT</t>
  </si>
  <si>
    <t>Tống Xuân Anh</t>
  </si>
  <si>
    <t>Huỳnh Thị Thuý Ngân</t>
  </si>
  <si>
    <t>Bùi Nhật Hạ</t>
  </si>
  <si>
    <t>Phạm Bích Hợp</t>
  </si>
  <si>
    <t>Trần Thị Thanh Thư</t>
  </si>
  <si>
    <t>Phan Trần Hiếu Ngân</t>
  </si>
  <si>
    <t>Trương Thị Thùy Vương</t>
  </si>
  <si>
    <t>Trần Trọng Thanh</t>
  </si>
  <si>
    <t>Phạm Nhật Thanh</t>
  </si>
  <si>
    <t>Trương Thị Trúc Linh</t>
  </si>
  <si>
    <t>Lê Thị Kim Châu</t>
  </si>
  <si>
    <t>Trần Đăng Nguyên</t>
  </si>
  <si>
    <t>Phạm Thị Hằng Hà</t>
  </si>
  <si>
    <t>Nguyễn Thị Tố Quyên</t>
  </si>
  <si>
    <t>Trần Thị Thu Hương</t>
  </si>
  <si>
    <t>Nguyễn Ngọc Lam Vi</t>
  </si>
  <si>
    <t>Phạm Hoàng Yến</t>
  </si>
  <si>
    <t>Lê Đinh Minh Thư</t>
  </si>
  <si>
    <t>Ngô Quách Thị Kim Thủy</t>
  </si>
  <si>
    <t>Nguyễn Đình Văn</t>
  </si>
  <si>
    <t>Lê Trần Hoàng Mỹ</t>
  </si>
  <si>
    <t>Huỳnh Thị Ngọc Huyền</t>
  </si>
  <si>
    <t xml:space="preserve">Nguyễn Phạm Khánh Chi </t>
  </si>
  <si>
    <t>Đặng Văn Đại</t>
  </si>
  <si>
    <t>Võ Ngọc Hân</t>
  </si>
  <si>
    <t>Đinh Thị Hoàng Thơ</t>
  </si>
  <si>
    <t>Vũ Ngọc Lâm</t>
  </si>
  <si>
    <t>Trần Minh Nhựt</t>
  </si>
  <si>
    <t>Nguyễn Ngọc Tân Tân</t>
  </si>
  <si>
    <t>Lê Quốc Huy</t>
  </si>
  <si>
    <t>Nguyễn Trần Hồng Thịnh</t>
  </si>
  <si>
    <t>Mai Trúc Mai</t>
  </si>
  <si>
    <t>Trần Lê Tuấn Anh</t>
  </si>
  <si>
    <t>Đặng Thục Đoan</t>
  </si>
  <si>
    <t>Giá 1 TC chính qui</t>
  </si>
  <si>
    <t>Số tiền sinh viên đóng học kỳ I năm học 2023-2024</t>
  </si>
  <si>
    <t>Tổng tín chỉ SV đăng ký Học kỳ I năm học 2023-2024</t>
  </si>
  <si>
    <t xml:space="preserve">Năm 
nhập học </t>
  </si>
  <si>
    <t>( Kèm theo Thông báo số           /TB-SYT ngày         tháng 11 năm 2023 của Sở Y tế)</t>
  </si>
  <si>
    <t>Đơn vị tín: Đồng</t>
  </si>
  <si>
    <t>Bùi Thúy Vi</t>
  </si>
  <si>
    <t>PHỤ LỤC SỐ TIỀN SINH VIÊN ĐCSD ĐÓNG HỌC PHÍ
HỌC KỲ I NĂM HỌC 2023-2024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</si>
</sst>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43" formatCode="_-* #,##0.00\ _₫_-;\-* #,##0.00\ _₫_-;_-* &quot;-&quot;??\ _₫_-;_-@_-"/>
    <numFmt numFmtId="164" formatCode="_(* #,##0.00_);_(* \(#,##0.00\);_(* &quot;-&quot;??_);_(@_)"/>
    <numFmt numFmtId="165" formatCode="_(* #,##0.000_);_(* \(#,##0.000\);_(* &quot;-&quot;??_);_(@_)"/>
    <numFmt numFmtId="166" formatCode="_(* #,##0_);_(* \(#,##0\);_(* &quot;-&quot;??_);_(@_)"/>
    <numFmt numFmtId="167" formatCode="_(* #.##0.00_);_(* \(#.##0.00\);_(* &quot;-&quot;??_);_(@_)"/>
    <numFmt numFmtId="168" formatCode="#,##0.0"/>
    <numFmt numFmtId="169" formatCode="_(* #,##0_);_(* \(#,##0\);_(* &quot;-&quot;?_);_(@_)"/>
    <numFmt numFmtId="170" formatCode="_-* #,##0.0\ _₫_-;\-* #,##0.0\ _₫_-;_-* &quot;-&quot;??\ _₫_-;_-@_-"/>
    <numFmt numFmtId="171" formatCode="_-* #,##0\ _₫_-;\-* #,##0\ _₫_-;_-* &quot;-&quot;??\ _₫_-;_-@_-"/>
    <numFmt numFmtId="172" formatCode="&quot;Tây Ninh, Ngày   &quot;dd&quot;   tháng   &quot;mm&quot;   năm   &quot;yyyy"/>
    <numFmt numFmtId="173" formatCode="&quot;Ngày   &quot;dd&quot;   tháng   &quot;mm&quot;   năm   &quot;yyyy"/>
    <numFmt numFmtId="174" formatCode="_(* #,##0.0_);_(* \(#,##0.0\);_(* &quot;-&quot;??_);_(@_)"/>
    <numFmt numFmtId="175" formatCode="_-* #,##0.0000\ _₫_-;\-* #,##0.0000\ _₫_-;_-* &quot;-&quot;??\ _₫_-;_-@_-"/>
    <numFmt numFmtId="176" formatCode="#,##0.0000"/>
    <numFmt numFmtId="177" formatCode="_(* #,##0.0000_);_(* \(#,##0.0000\);_(* &quot;-&quot;??_);_(@_)"/>
    <numFmt numFmtId="178" formatCode="#,##0.00000"/>
    <numFmt numFmtId="179" formatCode="_-* #,##0.000\ _₫_-;\-* #,##0.000\ _₫_-;_-* &quot;-&quot;??\ _₫_-;_-@_-"/>
  </numFmts>
  <fonts count="84" x14ac:knownFonts="1">
    <font>
      <sz val="11"/>
      <color theme="1"/>
      <name val="Calibri"/>
      <family val="2"/>
      <charset val="163"/>
      <scheme val="minor"/>
    </font>
    <font>
      <sz val="11"/>
      <name val="Times New Roman"/>
      <family val="1"/>
    </font>
    <font>
      <b/>
      <sz val="11"/>
      <name val="Times New Roman"/>
      <family val="1"/>
    </font>
    <font>
      <b/>
      <i/>
      <u/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name val="Times New Roman"/>
      <family val="1"/>
    </font>
    <font>
      <b/>
      <sz val="11"/>
      <name val="Times New Roman"/>
      <family val="1"/>
      <charset val="163"/>
    </font>
    <font>
      <b/>
      <u/>
      <sz val="11"/>
      <name val="Times New Roman"/>
      <family val="1"/>
    </font>
    <font>
      <b/>
      <u/>
      <sz val="10.5"/>
      <name val="Times New Roman"/>
      <family val="1"/>
    </font>
    <font>
      <b/>
      <sz val="12"/>
      <name val="Times New Roman"/>
      <family val="1"/>
    </font>
    <font>
      <sz val="10.5"/>
      <name val="Times New Roman"/>
      <family val="1"/>
    </font>
    <font>
      <b/>
      <sz val="10.5"/>
      <name val="Times New Roman"/>
      <family val="1"/>
    </font>
    <font>
      <b/>
      <u/>
      <sz val="12"/>
      <name val="Times New Roman"/>
      <family val="1"/>
    </font>
    <font>
      <i/>
      <sz val="12"/>
      <name val="Times New Roman"/>
      <family val="1"/>
    </font>
    <font>
      <b/>
      <sz val="16"/>
      <name val="Times New Roman"/>
      <family val="1"/>
    </font>
    <font>
      <b/>
      <sz val="15"/>
      <name val="Times New Roman"/>
      <family val="1"/>
    </font>
    <font>
      <i/>
      <sz val="15"/>
      <name val="Times New Roman"/>
      <family val="1"/>
    </font>
    <font>
      <b/>
      <sz val="10"/>
      <name val="Times New Roman"/>
      <family val="1"/>
      <charset val="163"/>
    </font>
    <font>
      <b/>
      <sz val="12"/>
      <name val="Times New Roman"/>
      <family val="1"/>
      <charset val="163"/>
    </font>
    <font>
      <sz val="10"/>
      <name val="Arial"/>
      <family val="2"/>
    </font>
    <font>
      <b/>
      <u val="singleAccounting"/>
      <sz val="11"/>
      <name val="Times New Roman"/>
      <family val="1"/>
    </font>
    <font>
      <sz val="9"/>
      <name val="Times New Roman"/>
      <family val="1"/>
    </font>
    <font>
      <sz val="11"/>
      <name val="VNI-Times"/>
    </font>
    <font>
      <b/>
      <sz val="10"/>
      <color indexed="8"/>
      <name val="Wingdings 2"/>
      <family val="1"/>
      <charset val="2"/>
    </font>
    <font>
      <b/>
      <sz val="10"/>
      <color indexed="8"/>
      <name val="Arial"/>
      <family val="2"/>
    </font>
    <font>
      <b/>
      <u val="singleAccounting"/>
      <sz val="10"/>
      <name val="Times New Roman"/>
      <family val="1"/>
    </font>
    <font>
      <i/>
      <sz val="10"/>
      <name val="Times New Roman"/>
      <family val="1"/>
    </font>
    <font>
      <sz val="10"/>
      <name val="Arial"/>
      <family val="2"/>
    </font>
    <font>
      <sz val="7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13"/>
      <name val="Times New Roman"/>
      <family val="1"/>
    </font>
    <font>
      <sz val="11"/>
      <color theme="1"/>
      <name val="Calibri"/>
      <family val="2"/>
      <charset val="163"/>
      <scheme val="minor"/>
    </font>
    <font>
      <b/>
      <sz val="11"/>
      <color theme="1"/>
      <name val="Calibri"/>
      <family val="2"/>
      <charset val="163"/>
      <scheme val="minor"/>
    </font>
    <font>
      <sz val="11"/>
      <name val="Calibri"/>
      <family val="2"/>
      <scheme val="minor"/>
    </font>
    <font>
      <b/>
      <sz val="12"/>
      <color rgb="FFFF0000"/>
      <name val="Times New Roman"/>
      <family val="1"/>
    </font>
    <font>
      <sz val="11"/>
      <color theme="1"/>
      <name val="Cambria"/>
      <family val="1"/>
      <charset val="163"/>
      <scheme val="major"/>
    </font>
    <font>
      <b/>
      <u val="singleAccounting"/>
      <sz val="12"/>
      <name val="Cambria"/>
      <family val="1"/>
      <charset val="163"/>
      <scheme val="major"/>
    </font>
    <font>
      <sz val="12"/>
      <name val="Cambria"/>
      <family val="1"/>
      <charset val="163"/>
      <scheme val="major"/>
    </font>
    <font>
      <sz val="11"/>
      <name val="Cambria"/>
      <family val="1"/>
      <charset val="163"/>
      <scheme val="major"/>
    </font>
    <font>
      <b/>
      <sz val="12"/>
      <name val="Cambria"/>
      <family val="1"/>
      <charset val="163"/>
      <scheme val="major"/>
    </font>
    <font>
      <b/>
      <sz val="11"/>
      <name val="Cambria"/>
      <family val="1"/>
      <charset val="163"/>
      <scheme val="major"/>
    </font>
    <font>
      <b/>
      <sz val="11"/>
      <color theme="1"/>
      <name val="Cambria"/>
      <family val="1"/>
      <charset val="163"/>
      <scheme val="major"/>
    </font>
    <font>
      <sz val="11"/>
      <name val="Calibri"/>
      <family val="2"/>
      <charset val="163"/>
      <scheme val="minor"/>
    </font>
    <font>
      <b/>
      <i/>
      <u/>
      <sz val="11"/>
      <color theme="1"/>
      <name val="Cambria"/>
      <family val="1"/>
      <scheme val="major"/>
    </font>
    <font>
      <b/>
      <sz val="10"/>
      <color rgb="FF000000"/>
      <name val="Arial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i/>
      <sz val="10"/>
      <color rgb="FF000000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10"/>
      <color theme="1"/>
      <name val="Calibri"/>
      <family val="2"/>
      <charset val="163"/>
      <scheme val="minor"/>
    </font>
    <font>
      <i/>
      <sz val="11"/>
      <color rgb="FF000000"/>
      <name val="Times New Roman"/>
      <family val="1"/>
    </font>
    <font>
      <sz val="10"/>
      <color rgb="FF000000"/>
      <name val="Arial"/>
      <family val="2"/>
    </font>
    <font>
      <i/>
      <sz val="12"/>
      <color rgb="FF000000"/>
      <name val="Times New Roman"/>
      <family val="1"/>
    </font>
    <font>
      <sz val="10"/>
      <color rgb="FFFF0000"/>
      <name val="Times New Roman"/>
      <family val="1"/>
    </font>
    <font>
      <b/>
      <u/>
      <sz val="10"/>
      <name val="Times New Roman"/>
      <family val="1"/>
    </font>
    <font>
      <i/>
      <sz val="11"/>
      <color rgb="FFFF0000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b/>
      <i/>
      <u/>
      <sz val="12"/>
      <name val="Times New Roman"/>
      <family val="1"/>
    </font>
    <font>
      <sz val="11"/>
      <color theme="0"/>
      <name val="Calibri"/>
      <family val="2"/>
      <charset val="163"/>
      <scheme val="minor"/>
    </font>
    <font>
      <b/>
      <sz val="11"/>
      <color theme="1"/>
      <name val="Calibri"/>
      <family val="2"/>
      <scheme val="minor"/>
    </font>
    <font>
      <sz val="11"/>
      <color theme="0"/>
      <name val="Times New Roman"/>
      <family val="1"/>
    </font>
    <font>
      <sz val="9"/>
      <color theme="0"/>
      <name val="Times New Roman"/>
      <family val="1"/>
    </font>
    <font>
      <sz val="13"/>
      <name val="Times New Roman"/>
      <family val="1"/>
    </font>
    <font>
      <sz val="13"/>
      <name val="Calibri"/>
      <family val="2"/>
      <charset val="163"/>
      <scheme val="minor"/>
    </font>
    <font>
      <sz val="13"/>
      <name val="Calibri"/>
      <family val="2"/>
      <scheme val="minor"/>
    </font>
    <font>
      <i/>
      <sz val="13"/>
      <name val="Times New Roman"/>
      <family val="1"/>
    </font>
    <font>
      <sz val="12"/>
      <name val="Cambria"/>
      <family val="1"/>
      <scheme val="major"/>
    </font>
    <font>
      <sz val="9"/>
      <name val="Calibri"/>
      <family val="2"/>
      <charset val="163"/>
      <scheme val="minor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b/>
      <sz val="14"/>
      <color theme="1"/>
      <name val="Times New Roman"/>
      <family val="1"/>
    </font>
    <font>
      <i/>
      <sz val="14"/>
      <color rgb="FFFF0000"/>
      <name val="Times New Roman"/>
      <family val="1"/>
    </font>
    <font>
      <sz val="14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rgb="FF92D050"/>
      </left>
      <right/>
      <top/>
      <bottom/>
      <diagonal/>
    </border>
    <border>
      <left/>
      <right style="double">
        <color rgb="FF92D050"/>
      </right>
      <top/>
      <bottom/>
      <diagonal/>
    </border>
    <border>
      <left/>
      <right/>
      <top/>
      <bottom style="double">
        <color rgb="FF92D050"/>
      </bottom>
      <diagonal/>
    </border>
    <border>
      <left style="double">
        <color rgb="FF92D050"/>
      </left>
      <right/>
      <top/>
      <bottom style="double">
        <color rgb="FF92D050"/>
      </bottom>
      <diagonal/>
    </border>
    <border>
      <left/>
      <right style="double">
        <color rgb="FF92D050"/>
      </right>
      <top/>
      <bottom style="double">
        <color rgb="FF92D050"/>
      </bottom>
      <diagonal/>
    </border>
    <border>
      <left style="double">
        <color rgb="FF92D050"/>
      </left>
      <right/>
      <top style="double">
        <color rgb="FF92D050"/>
      </top>
      <bottom/>
      <diagonal/>
    </border>
    <border>
      <left/>
      <right style="double">
        <color rgb="FF92D050"/>
      </right>
      <top style="double">
        <color rgb="FF92D050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3" fontId="38" fillId="0" borderId="0" applyFont="0" applyFill="0" applyBorder="0" applyAlignment="0" applyProtection="0"/>
    <xf numFmtId="164" fontId="25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25" fillId="0" borderId="0"/>
    <xf numFmtId="0" fontId="33" fillId="0" borderId="0"/>
    <xf numFmtId="9" fontId="38" fillId="0" borderId="0" applyFont="0" applyFill="0" applyBorder="0" applyAlignment="0" applyProtection="0"/>
  </cellStyleXfs>
  <cellXfs count="777">
    <xf numFmtId="0" fontId="0" fillId="0" borderId="0" xfId="0"/>
    <xf numFmtId="0" fontId="1" fillId="0" borderId="0" xfId="0" applyFont="1"/>
    <xf numFmtId="0" fontId="2" fillId="0" borderId="0" xfId="0" applyFont="1"/>
    <xf numFmtId="4" fontId="1" fillId="0" borderId="0" xfId="0" applyNumberFormat="1" applyFont="1"/>
    <xf numFmtId="3" fontId="1" fillId="0" borderId="0" xfId="0" applyNumberFormat="1" applyFont="1"/>
    <xf numFmtId="0" fontId="4" fillId="0" borderId="0" xfId="0" applyFont="1" applyAlignment="1">
      <alignment horizontal="left"/>
    </xf>
    <xf numFmtId="165" fontId="1" fillId="0" borderId="0" xfId="1" applyNumberFormat="1" applyFont="1"/>
    <xf numFmtId="0" fontId="5" fillId="0" borderId="0" xfId="0" applyFont="1"/>
    <xf numFmtId="166" fontId="6" fillId="0" borderId="0" xfId="1" applyNumberFormat="1" applyFont="1"/>
    <xf numFmtId="3" fontId="2" fillId="0" borderId="0" xfId="0" applyNumberFormat="1" applyFont="1"/>
    <xf numFmtId="3" fontId="1" fillId="0" borderId="0" xfId="0" applyNumberFormat="1" applyFont="1" applyAlignment="1">
      <alignment horizontal="right"/>
    </xf>
    <xf numFmtId="9" fontId="38" fillId="0" borderId="0" xfId="6" applyFont="1"/>
    <xf numFmtId="3" fontId="14" fillId="0" borderId="0" xfId="0" applyNumberFormat="1" applyFont="1" applyFill="1"/>
    <xf numFmtId="166" fontId="13" fillId="0" borderId="0" xfId="1" applyNumberFormat="1" applyFont="1" applyFill="1" applyBorder="1" applyAlignment="1"/>
    <xf numFmtId="0" fontId="15" fillId="0" borderId="0" xfId="0" applyFont="1" applyFill="1" applyAlignment="1"/>
    <xf numFmtId="0" fontId="3" fillId="0" borderId="0" xfId="0" applyFont="1" applyFill="1" applyBorder="1" applyAlignment="1"/>
    <xf numFmtId="166" fontId="13" fillId="0" borderId="0" xfId="0" applyNumberFormat="1" applyFont="1" applyFill="1" applyBorder="1" applyAlignment="1"/>
    <xf numFmtId="0" fontId="11" fillId="0" borderId="0" xfId="0" applyFont="1"/>
    <xf numFmtId="0" fontId="1" fillId="0" borderId="0" xfId="0" applyFont="1" applyFill="1"/>
    <xf numFmtId="3" fontId="16" fillId="0" borderId="0" xfId="0" applyNumberFormat="1" applyFont="1" applyFill="1"/>
    <xf numFmtId="1" fontId="17" fillId="0" borderId="0" xfId="0" applyNumberFormat="1" applyFont="1" applyFill="1"/>
    <xf numFmtId="3" fontId="40" fillId="0" borderId="0" xfId="0" applyNumberFormat="1" applyFont="1"/>
    <xf numFmtId="9" fontId="11" fillId="0" borderId="0" xfId="6" quotePrefix="1" applyFont="1" applyFill="1" applyAlignment="1">
      <alignment horizontal="right"/>
    </xf>
    <xf numFmtId="0" fontId="40" fillId="0" borderId="0" xfId="0" applyFont="1"/>
    <xf numFmtId="0" fontId="4" fillId="0" borderId="0" xfId="0" applyFont="1" applyFill="1" applyAlignment="1">
      <alignment horizontal="left"/>
    </xf>
    <xf numFmtId="0" fontId="3" fillId="0" borderId="0" xfId="0" applyFont="1" applyFill="1" applyBorder="1" applyAlignment="1">
      <alignment horizontal="left"/>
    </xf>
    <xf numFmtId="0" fontId="5" fillId="0" borderId="0" xfId="0" applyFont="1" applyFill="1" applyAlignment="1">
      <alignment horizontal="left"/>
    </xf>
    <xf numFmtId="0" fontId="11" fillId="0" borderId="0" xfId="0" applyFont="1" applyFill="1"/>
    <xf numFmtId="0" fontId="15" fillId="0" borderId="0" xfId="0" applyFont="1" applyFill="1"/>
    <xf numFmtId="166" fontId="11" fillId="0" borderId="0" xfId="0" applyNumberFormat="1" applyFont="1" applyFill="1"/>
    <xf numFmtId="3" fontId="15" fillId="0" borderId="0" xfId="0" applyNumberFormat="1" applyFont="1" applyFill="1"/>
    <xf numFmtId="3" fontId="11" fillId="0" borderId="0" xfId="0" applyNumberFormat="1" applyFont="1" applyFill="1"/>
    <xf numFmtId="166" fontId="8" fillId="0" borderId="0" xfId="1" applyNumberFormat="1" applyFont="1" applyFill="1"/>
    <xf numFmtId="0" fontId="18" fillId="0" borderId="0" xfId="0" applyFont="1" applyFill="1"/>
    <xf numFmtId="3" fontId="11" fillId="0" borderId="0" xfId="0" applyNumberFormat="1" applyFont="1" applyFill="1" applyAlignment="1"/>
    <xf numFmtId="0" fontId="19" fillId="0" borderId="0" xfId="0" applyFont="1" applyFill="1"/>
    <xf numFmtId="3" fontId="15" fillId="0" borderId="0" xfId="0" applyNumberFormat="1" applyFont="1" applyFill="1" applyBorder="1" applyAlignment="1">
      <alignment horizontal="left"/>
    </xf>
    <xf numFmtId="3" fontId="11" fillId="0" borderId="0" xfId="0" applyNumberFormat="1" applyFont="1" applyFill="1" applyBorder="1" applyAlignment="1">
      <alignment horizontal="left"/>
    </xf>
    <xf numFmtId="0" fontId="41" fillId="0" borderId="0" xfId="0" applyFont="1" applyAlignment="1"/>
    <xf numFmtId="168" fontId="16" fillId="0" borderId="0" xfId="0" applyNumberFormat="1" applyFont="1" applyFill="1" applyAlignment="1"/>
    <xf numFmtId="0" fontId="2" fillId="0" borderId="0" xfId="0" applyFont="1" applyFill="1"/>
    <xf numFmtId="0" fontId="1" fillId="0" borderId="2" xfId="0" applyFont="1" applyBorder="1" applyAlignment="1">
      <alignment horizontal="center"/>
    </xf>
    <xf numFmtId="3" fontId="1" fillId="0" borderId="2" xfId="0" applyNumberFormat="1" applyFont="1" applyBorder="1"/>
    <xf numFmtId="166" fontId="1" fillId="0" borderId="2" xfId="1" applyNumberFormat="1" applyFont="1" applyBorder="1" applyAlignment="1"/>
    <xf numFmtId="0" fontId="1" fillId="0" borderId="3" xfId="0" applyFont="1" applyBorder="1" applyAlignment="1">
      <alignment horizontal="center"/>
    </xf>
    <xf numFmtId="3" fontId="1" fillId="0" borderId="3" xfId="0" applyNumberFormat="1" applyFont="1" applyBorder="1"/>
    <xf numFmtId="166" fontId="1" fillId="0" borderId="3" xfId="1" applyNumberFormat="1" applyFont="1" applyBorder="1" applyAlignment="1"/>
    <xf numFmtId="43" fontId="8" fillId="0" borderId="1" xfId="1" applyFont="1" applyFill="1" applyBorder="1" applyAlignment="1">
      <alignment horizontal="center" vertical="center" wrapText="1"/>
    </xf>
    <xf numFmtId="164" fontId="8" fillId="0" borderId="1" xfId="1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3" fillId="0" borderId="0" xfId="0" applyFont="1" applyFill="1" applyAlignment="1"/>
    <xf numFmtId="0" fontId="4" fillId="0" borderId="0" xfId="0" applyFont="1" applyFill="1" applyAlignment="1"/>
    <xf numFmtId="0" fontId="4" fillId="0" borderId="0" xfId="0" applyFont="1" applyFill="1" applyBorder="1" applyAlignment="1"/>
    <xf numFmtId="0" fontId="2" fillId="0" borderId="0" xfId="0" applyFont="1" applyAlignment="1"/>
    <xf numFmtId="0" fontId="4" fillId="0" borderId="0" xfId="0" applyFont="1" applyAlignment="1"/>
    <xf numFmtId="0" fontId="42" fillId="0" borderId="0" xfId="0" applyFont="1"/>
    <xf numFmtId="166" fontId="43" fillId="0" borderId="0" xfId="1" applyNumberFormat="1" applyFont="1"/>
    <xf numFmtId="166" fontId="44" fillId="0" borderId="0" xfId="1" applyNumberFormat="1" applyFont="1"/>
    <xf numFmtId="0" fontId="45" fillId="0" borderId="0" xfId="0" applyFont="1"/>
    <xf numFmtId="166" fontId="46" fillId="0" borderId="0" xfId="1" applyNumberFormat="1" applyFont="1" applyFill="1"/>
    <xf numFmtId="0" fontId="47" fillId="0" borderId="0" xfId="0" applyFont="1" applyFill="1"/>
    <xf numFmtId="166" fontId="47" fillId="0" borderId="0" xfId="1" applyNumberFormat="1" applyFont="1" applyFill="1" applyAlignment="1">
      <alignment horizontal="left" indent="1"/>
    </xf>
    <xf numFmtId="166" fontId="42" fillId="0" borderId="0" xfId="0" applyNumberFormat="1" applyFont="1"/>
    <xf numFmtId="166" fontId="44" fillId="0" borderId="0" xfId="1" applyNumberFormat="1" applyFont="1" applyFill="1"/>
    <xf numFmtId="0" fontId="46" fillId="0" borderId="0" xfId="0" applyFont="1" applyAlignment="1">
      <alignment horizontal="right"/>
    </xf>
    <xf numFmtId="166" fontId="46" fillId="0" borderId="0" xfId="1" applyNumberFormat="1" applyFont="1"/>
    <xf numFmtId="166" fontId="45" fillId="0" borderId="0" xfId="1" applyNumberFormat="1" applyFont="1" applyAlignment="1">
      <alignment horizontal="right"/>
    </xf>
    <xf numFmtId="166" fontId="45" fillId="0" borderId="0" xfId="1" applyNumberFormat="1" applyFont="1" applyAlignment="1">
      <alignment horizontal="left" indent="1"/>
    </xf>
    <xf numFmtId="166" fontId="44" fillId="0" borderId="0" xfId="0" applyNumberFormat="1" applyFont="1"/>
    <xf numFmtId="166" fontId="47" fillId="0" borderId="0" xfId="1" applyNumberFormat="1" applyFont="1" applyAlignment="1">
      <alignment horizontal="left" indent="1"/>
    </xf>
    <xf numFmtId="0" fontId="48" fillId="0" borderId="0" xfId="0" applyFont="1"/>
    <xf numFmtId="166" fontId="48" fillId="0" borderId="0" xfId="0" applyNumberFormat="1" applyFont="1"/>
    <xf numFmtId="0" fontId="39" fillId="0" borderId="0" xfId="0" applyFont="1"/>
    <xf numFmtId="49" fontId="1" fillId="0" borderId="2" xfId="0" applyNumberFormat="1" applyFont="1" applyBorder="1" applyAlignment="1">
      <alignment horizontal="center"/>
    </xf>
    <xf numFmtId="4" fontId="1" fillId="0" borderId="2" xfId="0" applyNumberFormat="1" applyFont="1" applyBorder="1" applyAlignment="1"/>
    <xf numFmtId="3" fontId="1" fillId="0" borderId="2" xfId="0" applyNumberFormat="1" applyFont="1" applyBorder="1" applyAlignment="1"/>
    <xf numFmtId="9" fontId="1" fillId="0" borderId="2" xfId="6" applyFont="1" applyBorder="1" applyAlignment="1"/>
    <xf numFmtId="49" fontId="1" fillId="0" borderId="3" xfId="0" applyNumberFormat="1" applyFont="1" applyBorder="1" applyAlignment="1">
      <alignment horizontal="center"/>
    </xf>
    <xf numFmtId="4" fontId="1" fillId="0" borderId="3" xfId="0" applyNumberFormat="1" applyFont="1" applyBorder="1" applyAlignment="1"/>
    <xf numFmtId="3" fontId="1" fillId="0" borderId="3" xfId="0" applyNumberFormat="1" applyFont="1" applyBorder="1" applyAlignment="1"/>
    <xf numFmtId="9" fontId="1" fillId="0" borderId="3" xfId="6" applyFont="1" applyBorder="1" applyAlignment="1"/>
    <xf numFmtId="0" fontId="6" fillId="0" borderId="0" xfId="0" applyFont="1"/>
    <xf numFmtId="0" fontId="7" fillId="0" borderId="0" xfId="0" applyFont="1"/>
    <xf numFmtId="4" fontId="7" fillId="0" borderId="0" xfId="0" applyNumberFormat="1" applyFont="1"/>
    <xf numFmtId="9" fontId="7" fillId="0" borderId="0" xfId="6" applyFont="1"/>
    <xf numFmtId="3" fontId="7" fillId="0" borderId="0" xfId="0" applyNumberFormat="1" applyFont="1"/>
    <xf numFmtId="0" fontId="7" fillId="0" borderId="1" xfId="0" applyFont="1" applyBorder="1" applyAlignment="1">
      <alignment vertical="center"/>
    </xf>
    <xf numFmtId="43" fontId="11" fillId="0" borderId="0" xfId="1" applyFont="1" applyFill="1" applyBorder="1" applyAlignment="1">
      <alignment horizontal="left"/>
    </xf>
    <xf numFmtId="0" fontId="49" fillId="0" borderId="0" xfId="0" applyFont="1"/>
    <xf numFmtId="0" fontId="15" fillId="0" borderId="0" xfId="0" applyFont="1"/>
    <xf numFmtId="0" fontId="50" fillId="0" borderId="0" xfId="0" applyFont="1"/>
    <xf numFmtId="164" fontId="48" fillId="0" borderId="0" xfId="0" applyNumberFormat="1" applyFont="1"/>
    <xf numFmtId="3" fontId="0" fillId="0" borderId="0" xfId="0" applyNumberFormat="1"/>
    <xf numFmtId="0" fontId="1" fillId="0" borderId="0" xfId="4" applyFont="1"/>
    <xf numFmtId="0" fontId="1" fillId="0" borderId="0" xfId="4" applyFont="1" applyAlignment="1">
      <alignment horizontal="right"/>
    </xf>
    <xf numFmtId="166" fontId="1" fillId="0" borderId="0" xfId="2" applyNumberFormat="1" applyFont="1"/>
    <xf numFmtId="0" fontId="1" fillId="0" borderId="0" xfId="4" applyFont="1" applyAlignment="1">
      <alignment horizontal="center" vertical="center"/>
    </xf>
    <xf numFmtId="0" fontId="1" fillId="0" borderId="0" xfId="4" applyFont="1" applyAlignment="1">
      <alignment horizontal="right" vertical="center"/>
    </xf>
    <xf numFmtId="166" fontId="1" fillId="0" borderId="0" xfId="2" applyNumberFormat="1" applyFont="1" applyAlignment="1">
      <alignment horizontal="center" vertical="center"/>
    </xf>
    <xf numFmtId="0" fontId="2" fillId="0" borderId="1" xfId="4" applyFont="1" applyBorder="1" applyAlignment="1">
      <alignment horizontal="center" vertical="center"/>
    </xf>
    <xf numFmtId="0" fontId="2" fillId="0" borderId="0" xfId="4" applyFont="1"/>
    <xf numFmtId="0" fontId="2" fillId="0" borderId="1" xfId="4" applyFont="1" applyBorder="1" applyAlignment="1">
      <alignment horizontal="center"/>
    </xf>
    <xf numFmtId="0" fontId="1" fillId="0" borderId="0" xfId="4" applyFont="1" applyAlignment="1">
      <alignment horizontal="center"/>
    </xf>
    <xf numFmtId="0" fontId="1" fillId="0" borderId="1" xfId="4" applyFont="1" applyBorder="1" applyAlignment="1">
      <alignment horizontal="center"/>
    </xf>
    <xf numFmtId="0" fontId="2" fillId="0" borderId="1" xfId="4" applyFont="1" applyBorder="1" applyAlignment="1">
      <alignment horizontal="left" vertical="center"/>
    </xf>
    <xf numFmtId="0" fontId="1" fillId="0" borderId="1" xfId="4" applyFont="1" applyBorder="1" applyAlignment="1">
      <alignment horizontal="center" vertical="center"/>
    </xf>
    <xf numFmtId="0" fontId="1" fillId="0" borderId="1" xfId="4" applyFont="1" applyBorder="1"/>
    <xf numFmtId="0" fontId="1" fillId="0" borderId="1" xfId="4" applyFont="1" applyBorder="1" applyAlignment="1">
      <alignment horizontal="right" vertical="center"/>
    </xf>
    <xf numFmtId="166" fontId="1" fillId="0" borderId="1" xfId="2" applyNumberFormat="1" applyFont="1" applyBorder="1"/>
    <xf numFmtId="1" fontId="1" fillId="0" borderId="1" xfId="4" quotePrefix="1" applyNumberFormat="1" applyFont="1" applyBorder="1" applyAlignment="1">
      <alignment horizontal="right"/>
    </xf>
    <xf numFmtId="0" fontId="1" fillId="0" borderId="1" xfId="4" quotePrefix="1" applyFont="1" applyBorder="1" applyAlignment="1">
      <alignment horizontal="right" vertical="center"/>
    </xf>
    <xf numFmtId="1" fontId="1" fillId="0" borderId="1" xfId="4" applyNumberFormat="1" applyFont="1" applyFill="1" applyBorder="1" applyAlignment="1">
      <alignment horizontal="right"/>
    </xf>
    <xf numFmtId="0" fontId="27" fillId="0" borderId="1" xfId="4" applyFont="1" applyBorder="1"/>
    <xf numFmtId="166" fontId="1" fillId="0" borderId="1" xfId="2" applyNumberFormat="1" applyFont="1" applyFill="1" applyBorder="1" applyAlignment="1">
      <alignment horizontal="right"/>
    </xf>
    <xf numFmtId="0" fontId="2" fillId="0" borderId="1" xfId="4" applyFont="1" applyBorder="1"/>
    <xf numFmtId="0" fontId="2" fillId="0" borderId="1" xfId="4" quotePrefix="1" applyFont="1" applyBorder="1" applyAlignment="1">
      <alignment horizontal="right" vertical="center"/>
    </xf>
    <xf numFmtId="1" fontId="2" fillId="0" borderId="1" xfId="4" applyNumberFormat="1" applyFont="1" applyFill="1" applyBorder="1" applyAlignment="1">
      <alignment horizontal="right"/>
    </xf>
    <xf numFmtId="166" fontId="2" fillId="0" borderId="1" xfId="2" applyNumberFormat="1" applyFont="1" applyFill="1" applyBorder="1" applyAlignment="1">
      <alignment horizontal="right"/>
    </xf>
    <xf numFmtId="0" fontId="1" fillId="0" borderId="1" xfId="4" applyFont="1" applyBorder="1" applyAlignment="1">
      <alignment horizontal="right"/>
    </xf>
    <xf numFmtId="0" fontId="2" fillId="0" borderId="0" xfId="4" applyFont="1" applyBorder="1" applyAlignment="1">
      <alignment vertical="center"/>
    </xf>
    <xf numFmtId="0" fontId="5" fillId="0" borderId="0" xfId="4" applyFont="1" applyBorder="1" applyAlignment="1">
      <alignment horizontal="left" vertical="center" wrapText="1"/>
    </xf>
    <xf numFmtId="0" fontId="2" fillId="0" borderId="0" xfId="4" applyFont="1" applyAlignment="1"/>
    <xf numFmtId="0" fontId="2" fillId="0" borderId="0" xfId="4" applyFont="1" applyAlignment="1">
      <alignment horizontal="right"/>
    </xf>
    <xf numFmtId="0" fontId="1" fillId="0" borderId="0" xfId="4" applyFont="1" applyAlignment="1"/>
    <xf numFmtId="0" fontId="11" fillId="0" borderId="0" xfId="4" applyFont="1"/>
    <xf numFmtId="166" fontId="11" fillId="0" borderId="0" xfId="2" applyNumberFormat="1" applyFont="1"/>
    <xf numFmtId="0" fontId="51" fillId="0" borderId="0" xfId="4" applyFont="1" applyAlignment="1">
      <alignment horizontal="center" vertical="center"/>
    </xf>
    <xf numFmtId="0" fontId="52" fillId="0" borderId="0" xfId="4" applyFont="1" applyAlignment="1">
      <alignment vertical="center"/>
    </xf>
    <xf numFmtId="0" fontId="11" fillId="0" borderId="0" xfId="4" applyFont="1" applyAlignment="1">
      <alignment horizontal="right"/>
    </xf>
    <xf numFmtId="0" fontId="11" fillId="0" borderId="0" xfId="4" applyFont="1" applyAlignment="1"/>
    <xf numFmtId="0" fontId="52" fillId="0" borderId="0" xfId="4" applyFont="1" applyAlignment="1">
      <alignment horizontal="left" vertical="center"/>
    </xf>
    <xf numFmtId="0" fontId="53" fillId="0" borderId="0" xfId="4" applyFont="1" applyAlignment="1">
      <alignment vertical="center"/>
    </xf>
    <xf numFmtId="0" fontId="54" fillId="0" borderId="0" xfId="4" applyFont="1" applyAlignment="1">
      <alignment horizontal="right" vertical="center"/>
    </xf>
    <xf numFmtId="0" fontId="8" fillId="0" borderId="1" xfId="4" applyFont="1" applyBorder="1" applyAlignment="1">
      <alignment horizontal="right" vertical="center"/>
    </xf>
    <xf numFmtId="166" fontId="2" fillId="0" borderId="0" xfId="2" applyNumberFormat="1" applyFont="1"/>
    <xf numFmtId="166" fontId="8" fillId="0" borderId="5" xfId="2" applyNumberFormat="1" applyFont="1" applyBorder="1" applyAlignment="1">
      <alignment vertical="center" wrapText="1"/>
    </xf>
    <xf numFmtId="0" fontId="8" fillId="0" borderId="5" xfId="4" applyFont="1" applyBorder="1" applyAlignment="1">
      <alignment vertical="center" wrapText="1"/>
    </xf>
    <xf numFmtId="166" fontId="2" fillId="0" borderId="1" xfId="2" quotePrefix="1" applyNumberFormat="1" applyFont="1" applyBorder="1" applyAlignment="1">
      <alignment horizontal="center" vertical="center"/>
    </xf>
    <xf numFmtId="166" fontId="1" fillId="0" borderId="0" xfId="2" applyNumberFormat="1" applyFont="1" applyAlignment="1">
      <alignment horizontal="center"/>
    </xf>
    <xf numFmtId="166" fontId="31" fillId="0" borderId="1" xfId="2" applyNumberFormat="1" applyFont="1" applyBorder="1" applyAlignment="1">
      <alignment horizontal="center" vertical="center"/>
    </xf>
    <xf numFmtId="166" fontId="1" fillId="0" borderId="1" xfId="2" applyNumberFormat="1" applyFont="1" applyBorder="1" applyAlignment="1">
      <alignment horizontal="center" vertical="center"/>
    </xf>
    <xf numFmtId="166" fontId="1" fillId="0" borderId="1" xfId="2" applyNumberFormat="1" applyFont="1" applyFill="1" applyBorder="1" applyAlignment="1">
      <alignment horizontal="center" vertical="center"/>
    </xf>
    <xf numFmtId="0" fontId="7" fillId="0" borderId="1" xfId="4" applyFont="1" applyBorder="1"/>
    <xf numFmtId="0" fontId="7" fillId="0" borderId="1" xfId="4" applyFont="1" applyBorder="1" applyAlignment="1">
      <alignment horizontal="center"/>
    </xf>
    <xf numFmtId="0" fontId="11" fillId="0" borderId="1" xfId="4" applyFont="1" applyBorder="1"/>
    <xf numFmtId="166" fontId="11" fillId="0" borderId="1" xfId="2" applyNumberFormat="1" applyFont="1" applyFill="1" applyBorder="1" applyAlignment="1">
      <alignment horizontal="right"/>
    </xf>
    <xf numFmtId="0" fontId="55" fillId="0" borderId="1" xfId="4" applyFont="1" applyBorder="1" applyAlignment="1">
      <alignment vertical="center"/>
    </xf>
    <xf numFmtId="166" fontId="11" fillId="0" borderId="1" xfId="2" applyNumberFormat="1" applyFont="1" applyBorder="1" applyAlignment="1">
      <alignment horizontal="right"/>
    </xf>
    <xf numFmtId="166" fontId="11" fillId="0" borderId="1" xfId="2" applyNumberFormat="1" applyFont="1" applyBorder="1" applyAlignment="1">
      <alignment horizontal="right" vertical="center"/>
    </xf>
    <xf numFmtId="166" fontId="26" fillId="0" borderId="0" xfId="4" applyNumberFormat="1" applyFont="1"/>
    <xf numFmtId="166" fontId="2" fillId="0" borderId="0" xfId="4" applyNumberFormat="1" applyFont="1"/>
    <xf numFmtId="166" fontId="4" fillId="0" borderId="0" xfId="4" applyNumberFormat="1" applyFont="1"/>
    <xf numFmtId="166" fontId="2" fillId="0" borderId="0" xfId="2" applyNumberFormat="1" applyFont="1" applyAlignment="1"/>
    <xf numFmtId="1" fontId="1" fillId="0" borderId="2" xfId="4" applyNumberFormat="1" applyFont="1" applyBorder="1"/>
    <xf numFmtId="1" fontId="1" fillId="0" borderId="3" xfId="4" applyNumberFormat="1" applyFont="1" applyBorder="1"/>
    <xf numFmtId="0" fontId="2" fillId="0" borderId="6" xfId="0" applyFont="1" applyBorder="1" applyAlignment="1"/>
    <xf numFmtId="3" fontId="2" fillId="0" borderId="6" xfId="0" applyNumberFormat="1" applyFont="1" applyBorder="1" applyAlignment="1"/>
    <xf numFmtId="166" fontId="2" fillId="0" borderId="6" xfId="1" applyNumberFormat="1" applyFont="1" applyBorder="1" applyAlignment="1">
      <alignment horizontal="right"/>
    </xf>
    <xf numFmtId="165" fontId="2" fillId="0" borderId="6" xfId="1" applyNumberFormat="1" applyFont="1" applyBorder="1" applyAlignment="1">
      <alignment horizontal="right"/>
    </xf>
    <xf numFmtId="3" fontId="12" fillId="0" borderId="6" xfId="0" applyNumberFormat="1" applyFont="1" applyBorder="1" applyAlignment="1"/>
    <xf numFmtId="43" fontId="2" fillId="0" borderId="6" xfId="1" applyFont="1" applyBorder="1" applyAlignment="1">
      <alignment horizontal="right"/>
    </xf>
    <xf numFmtId="0" fontId="1" fillId="0" borderId="4" xfId="0" applyFont="1" applyBorder="1" applyAlignment="1">
      <alignment horizontal="center"/>
    </xf>
    <xf numFmtId="1" fontId="1" fillId="0" borderId="4" xfId="4" applyNumberFormat="1" applyFont="1" applyBorder="1"/>
    <xf numFmtId="49" fontId="1" fillId="0" borderId="4" xfId="0" applyNumberFormat="1" applyFont="1" applyBorder="1" applyAlignment="1">
      <alignment horizontal="center"/>
    </xf>
    <xf numFmtId="49" fontId="1" fillId="0" borderId="4" xfId="0" quotePrefix="1" applyNumberFormat="1" applyFont="1" applyBorder="1" applyAlignment="1">
      <alignment horizontal="center"/>
    </xf>
    <xf numFmtId="4" fontId="1" fillId="0" borderId="4" xfId="0" applyNumberFormat="1" applyFont="1" applyBorder="1" applyAlignment="1"/>
    <xf numFmtId="9" fontId="1" fillId="0" borderId="4" xfId="6" applyFont="1" applyBorder="1" applyAlignment="1"/>
    <xf numFmtId="166" fontId="1" fillId="0" borderId="4" xfId="1" applyNumberFormat="1" applyFont="1" applyBorder="1" applyAlignment="1"/>
    <xf numFmtId="3" fontId="1" fillId="0" borderId="4" xfId="0" applyNumberFormat="1" applyFont="1" applyBorder="1" applyAlignment="1"/>
    <xf numFmtId="3" fontId="1" fillId="0" borderId="4" xfId="0" applyNumberFormat="1" applyFont="1" applyBorder="1"/>
    <xf numFmtId="166" fontId="1" fillId="0" borderId="0" xfId="4" applyNumberFormat="1" applyFont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0" xfId="4" applyFont="1" applyFill="1" applyBorder="1"/>
    <xf numFmtId="0" fontId="1" fillId="0" borderId="0" xfId="4" applyFont="1" applyFill="1" applyBorder="1" applyAlignment="1">
      <alignment horizontal="right"/>
    </xf>
    <xf numFmtId="166" fontId="1" fillId="0" borderId="0" xfId="2" applyNumberFormat="1" applyFont="1" applyFill="1" applyBorder="1"/>
    <xf numFmtId="0" fontId="1" fillId="0" borderId="0" xfId="4" applyFont="1" applyFill="1" applyBorder="1" applyAlignment="1">
      <alignment horizontal="center" vertical="center"/>
    </xf>
    <xf numFmtId="0" fontId="1" fillId="0" borderId="0" xfId="4" applyFont="1" applyFill="1" applyBorder="1" applyAlignment="1">
      <alignment horizontal="right" vertical="center"/>
    </xf>
    <xf numFmtId="166" fontId="1" fillId="0" borderId="0" xfId="2" applyNumberFormat="1" applyFont="1" applyFill="1" applyBorder="1" applyAlignment="1">
      <alignment horizontal="center" vertical="center"/>
    </xf>
    <xf numFmtId="0" fontId="2" fillId="0" borderId="0" xfId="4" applyFont="1" applyFill="1" applyBorder="1"/>
    <xf numFmtId="0" fontId="1" fillId="0" borderId="0" xfId="4" applyFont="1" applyFill="1" applyBorder="1" applyAlignment="1">
      <alignment horizontal="center"/>
    </xf>
    <xf numFmtId="166" fontId="1" fillId="0" borderId="0" xfId="4" applyNumberFormat="1" applyFont="1" applyFill="1" applyBorder="1" applyAlignment="1">
      <alignment horizontal="center"/>
    </xf>
    <xf numFmtId="0" fontId="2" fillId="0" borderId="0" xfId="4" applyFont="1" applyFill="1" applyBorder="1" applyAlignment="1">
      <alignment vertical="center"/>
    </xf>
    <xf numFmtId="0" fontId="5" fillId="0" borderId="0" xfId="4" applyFont="1" applyFill="1" applyBorder="1" applyAlignment="1">
      <alignment horizontal="left" vertical="center" wrapText="1"/>
    </xf>
    <xf numFmtId="166" fontId="1" fillId="0" borderId="0" xfId="4" applyNumberFormat="1" applyFont="1" applyFill="1" applyBorder="1"/>
    <xf numFmtId="0" fontId="2" fillId="0" borderId="0" xfId="4" applyFont="1" applyFill="1" applyBorder="1" applyAlignment="1">
      <alignment horizontal="left"/>
    </xf>
    <xf numFmtId="0" fontId="2" fillId="0" borderId="0" xfId="4" applyFont="1" applyFill="1" applyBorder="1" applyAlignment="1"/>
    <xf numFmtId="0" fontId="2" fillId="0" borderId="0" xfId="4" applyFont="1" applyFill="1" applyBorder="1" applyAlignment="1">
      <alignment horizontal="right"/>
    </xf>
    <xf numFmtId="0" fontId="1" fillId="0" borderId="0" xfId="4" applyFont="1" applyFill="1" applyBorder="1" applyAlignment="1"/>
    <xf numFmtId="0" fontId="2" fillId="0" borderId="1" xfId="4" applyFont="1" applyFill="1" applyBorder="1" applyAlignment="1">
      <alignment horizontal="center" vertical="center" wrapText="1"/>
    </xf>
    <xf numFmtId="0" fontId="2" fillId="0" borderId="1" xfId="4" applyFont="1" applyFill="1" applyBorder="1" applyAlignment="1">
      <alignment horizontal="center" vertical="center"/>
    </xf>
    <xf numFmtId="0" fontId="2" fillId="0" borderId="1" xfId="4" applyFont="1" applyFill="1" applyBorder="1" applyAlignment="1">
      <alignment horizontal="right" vertical="center"/>
    </xf>
    <xf numFmtId="166" fontId="2" fillId="0" borderId="1" xfId="2" applyNumberFormat="1" applyFont="1" applyFill="1" applyBorder="1" applyAlignment="1">
      <alignment horizontal="center" vertical="center"/>
    </xf>
    <xf numFmtId="0" fontId="2" fillId="0" borderId="1" xfId="4" applyFont="1" applyFill="1" applyBorder="1" applyAlignment="1">
      <alignment horizontal="center"/>
    </xf>
    <xf numFmtId="0" fontId="1" fillId="0" borderId="1" xfId="4" applyFont="1" applyFill="1" applyBorder="1" applyAlignment="1">
      <alignment horizontal="center"/>
    </xf>
    <xf numFmtId="0" fontId="2" fillId="0" borderId="1" xfId="4" applyFont="1" applyFill="1" applyBorder="1" applyAlignment="1">
      <alignment horizontal="left" vertical="center"/>
    </xf>
    <xf numFmtId="0" fontId="1" fillId="0" borderId="1" xfId="4" applyFont="1" applyFill="1" applyBorder="1" applyAlignment="1">
      <alignment horizontal="center" vertical="center"/>
    </xf>
    <xf numFmtId="0" fontId="1" fillId="0" borderId="1" xfId="4" applyFont="1" applyFill="1" applyBorder="1"/>
    <xf numFmtId="0" fontId="1" fillId="0" borderId="1" xfId="4" applyFont="1" applyFill="1" applyBorder="1" applyAlignment="1">
      <alignment horizontal="right" vertical="center"/>
    </xf>
    <xf numFmtId="166" fontId="1" fillId="0" borderId="1" xfId="2" applyNumberFormat="1" applyFont="1" applyFill="1" applyBorder="1"/>
    <xf numFmtId="1" fontId="1" fillId="0" borderId="1" xfId="4" quotePrefix="1" applyNumberFormat="1" applyFont="1" applyFill="1" applyBorder="1" applyAlignment="1">
      <alignment horizontal="right"/>
    </xf>
    <xf numFmtId="0" fontId="1" fillId="0" borderId="1" xfId="4" quotePrefix="1" applyFont="1" applyFill="1" applyBorder="1" applyAlignment="1">
      <alignment horizontal="right" vertical="center"/>
    </xf>
    <xf numFmtId="0" fontId="27" fillId="0" borderId="1" xfId="4" applyFont="1" applyFill="1" applyBorder="1" applyAlignment="1">
      <alignment horizontal="center"/>
    </xf>
    <xf numFmtId="0" fontId="56" fillId="0" borderId="1" xfId="4" applyFont="1" applyFill="1" applyBorder="1" applyAlignment="1">
      <alignment vertical="center"/>
    </xf>
    <xf numFmtId="1" fontId="1" fillId="0" borderId="1" xfId="4" applyNumberFormat="1" applyFont="1" applyFill="1" applyBorder="1" applyAlignment="1">
      <alignment horizontal="right" vertical="center"/>
    </xf>
    <xf numFmtId="166" fontId="1" fillId="0" borderId="1" xfId="2" applyNumberFormat="1" applyFont="1" applyFill="1" applyBorder="1" applyAlignment="1">
      <alignment horizontal="right" vertical="center"/>
    </xf>
    <xf numFmtId="0" fontId="2" fillId="0" borderId="1" xfId="4" applyFont="1" applyFill="1" applyBorder="1"/>
    <xf numFmtId="0" fontId="2" fillId="0" borderId="1" xfId="4" quotePrefix="1" applyFont="1" applyFill="1" applyBorder="1" applyAlignment="1">
      <alignment horizontal="right" vertical="center"/>
    </xf>
    <xf numFmtId="0" fontId="1" fillId="0" borderId="1" xfId="4" applyFont="1" applyFill="1" applyBorder="1" applyAlignment="1">
      <alignment horizontal="right"/>
    </xf>
    <xf numFmtId="0" fontId="1" fillId="0" borderId="1" xfId="4" quotePrefix="1" applyFont="1" applyFill="1" applyBorder="1" applyAlignment="1">
      <alignment horizontal="right"/>
    </xf>
    <xf numFmtId="0" fontId="28" fillId="0" borderId="1" xfId="4" applyFont="1" applyFill="1" applyBorder="1" applyAlignment="1">
      <alignment horizontal="right"/>
    </xf>
    <xf numFmtId="0" fontId="32" fillId="0" borderId="0" xfId="0" applyFont="1"/>
    <xf numFmtId="0" fontId="7" fillId="0" borderId="1" xfId="4" applyFont="1" applyFill="1" applyBorder="1" applyAlignment="1">
      <alignment horizontal="center"/>
    </xf>
    <xf numFmtId="0" fontId="7" fillId="0" borderId="1" xfId="4" applyFont="1" applyFill="1" applyBorder="1"/>
    <xf numFmtId="0" fontId="8" fillId="0" borderId="1" xfId="4" applyFont="1" applyFill="1" applyBorder="1"/>
    <xf numFmtId="171" fontId="1" fillId="0" borderId="0" xfId="1" applyNumberFormat="1" applyFont="1"/>
    <xf numFmtId="171" fontId="2" fillId="0" borderId="0" xfId="4" applyNumberFormat="1" applyFont="1" applyAlignment="1">
      <alignment horizontal="center"/>
    </xf>
    <xf numFmtId="3" fontId="57" fillId="2" borderId="0" xfId="4" applyNumberFormat="1" applyFont="1" applyFill="1" applyAlignment="1">
      <alignment horizontal="center"/>
    </xf>
    <xf numFmtId="171" fontId="5" fillId="0" borderId="0" xfId="1" applyNumberFormat="1" applyFont="1" applyBorder="1" applyAlignment="1">
      <alignment horizontal="left" vertical="center" wrapText="1"/>
    </xf>
    <xf numFmtId="171" fontId="5" fillId="0" borderId="0" xfId="4" applyNumberFormat="1" applyFont="1" applyBorder="1" applyAlignment="1">
      <alignment horizontal="left" vertical="center" wrapText="1"/>
    </xf>
    <xf numFmtId="174" fontId="8" fillId="0" borderId="0" xfId="0" applyNumberFormat="1" applyFont="1"/>
    <xf numFmtId="174" fontId="1" fillId="0" borderId="0" xfId="0" applyNumberFormat="1" applyFont="1"/>
    <xf numFmtId="174" fontId="0" fillId="0" borderId="0" xfId="0" applyNumberFormat="1"/>
    <xf numFmtId="166" fontId="2" fillId="0" borderId="0" xfId="1" applyNumberFormat="1" applyFont="1" applyFill="1" applyBorder="1"/>
    <xf numFmtId="166" fontId="2" fillId="0" borderId="0" xfId="1" applyNumberFormat="1" applyFont="1" applyFill="1" applyBorder="1" applyAlignment="1">
      <alignment horizontal="center"/>
    </xf>
    <xf numFmtId="166" fontId="1" fillId="0" borderId="0" xfId="1" applyNumberFormat="1" applyFont="1" applyFill="1" applyBorder="1" applyAlignment="1"/>
    <xf numFmtId="174" fontId="1" fillId="0" borderId="0" xfId="1" applyNumberFormat="1" applyFont="1" applyFill="1" applyBorder="1" applyAlignment="1"/>
    <xf numFmtId="164" fontId="2" fillId="0" borderId="0" xfId="1" applyNumberFormat="1" applyFont="1" applyFill="1" applyBorder="1"/>
    <xf numFmtId="165" fontId="2" fillId="0" borderId="0" xfId="1" applyNumberFormat="1" applyFont="1" applyFill="1" applyBorder="1"/>
    <xf numFmtId="166" fontId="2" fillId="0" borderId="0" xfId="1" applyNumberFormat="1" applyFont="1" applyFill="1" applyBorder="1" applyAlignment="1"/>
    <xf numFmtId="174" fontId="2" fillId="0" borderId="0" xfId="1" applyNumberFormat="1" applyFont="1" applyFill="1" applyBorder="1" applyAlignment="1"/>
    <xf numFmtId="0" fontId="34" fillId="0" borderId="1" xfId="0" applyFont="1" applyFill="1" applyBorder="1" applyAlignment="1">
      <alignment horizontal="center" vertical="center" wrapText="1"/>
    </xf>
    <xf numFmtId="0" fontId="34" fillId="0" borderId="1" xfId="0" applyFont="1" applyBorder="1" applyAlignment="1">
      <alignment horizontal="center" vertical="center" wrapText="1"/>
    </xf>
    <xf numFmtId="3" fontId="34" fillId="0" borderId="1" xfId="0" applyNumberFormat="1" applyFont="1" applyFill="1" applyBorder="1" applyAlignment="1">
      <alignment horizontal="center" vertical="center" wrapText="1"/>
    </xf>
    <xf numFmtId="166" fontId="34" fillId="0" borderId="1" xfId="1" applyNumberFormat="1" applyFont="1" applyFill="1" applyBorder="1" applyAlignment="1">
      <alignment horizontal="center" vertical="center" wrapText="1"/>
    </xf>
    <xf numFmtId="166" fontId="34" fillId="0" borderId="1" xfId="3" applyNumberFormat="1" applyFont="1" applyFill="1" applyBorder="1" applyAlignment="1">
      <alignment horizontal="center" vertical="center" wrapText="1"/>
    </xf>
    <xf numFmtId="164" fontId="34" fillId="0" borderId="1" xfId="1" applyNumberFormat="1" applyFont="1" applyFill="1" applyBorder="1" applyAlignment="1">
      <alignment horizontal="center" vertical="center" wrapText="1"/>
    </xf>
    <xf numFmtId="1" fontId="34" fillId="0" borderId="1" xfId="0" applyNumberFormat="1" applyFont="1" applyFill="1" applyBorder="1" applyAlignment="1">
      <alignment horizontal="center" vertical="center" wrapText="1"/>
    </xf>
    <xf numFmtId="2" fontId="34" fillId="0" borderId="1" xfId="0" applyNumberFormat="1" applyFont="1" applyFill="1" applyBorder="1" applyAlignment="1">
      <alignment horizontal="center" vertical="center" wrapText="1"/>
    </xf>
    <xf numFmtId="174" fontId="34" fillId="0" borderId="1" xfId="1" applyNumberFormat="1" applyFont="1" applyFill="1" applyBorder="1" applyAlignment="1">
      <alignment horizontal="center" vertical="center" wrapText="1"/>
    </xf>
    <xf numFmtId="0" fontId="34" fillId="0" borderId="0" xfId="0" applyFont="1"/>
    <xf numFmtId="0" fontId="1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43" fontId="1" fillId="0" borderId="0" xfId="1" applyFont="1" applyFill="1" applyBorder="1" applyAlignment="1">
      <alignment horizontal="center"/>
    </xf>
    <xf numFmtId="0" fontId="1" fillId="0" borderId="7" xfId="0" applyFont="1" applyBorder="1" applyAlignment="1"/>
    <xf numFmtId="0" fontId="1" fillId="0" borderId="8" xfId="0" applyFont="1" applyBorder="1" applyAlignment="1"/>
    <xf numFmtId="0" fontId="1" fillId="0" borderId="9" xfId="0" applyFont="1" applyBorder="1" applyAlignment="1"/>
    <xf numFmtId="0" fontId="1" fillId="0" borderId="10" xfId="0" applyFont="1" applyBorder="1" applyAlignment="1"/>
    <xf numFmtId="0" fontId="1" fillId="0" borderId="11" xfId="0" applyFont="1" applyBorder="1" applyAlignment="1"/>
    <xf numFmtId="0" fontId="1" fillId="0" borderId="12" xfId="0" applyFont="1" applyBorder="1" applyAlignment="1"/>
    <xf numFmtId="0" fontId="7" fillId="0" borderId="0" xfId="0" applyFont="1" applyAlignment="1">
      <alignment horizontal="center" vertical="center"/>
    </xf>
    <xf numFmtId="3" fontId="42" fillId="0" borderId="0" xfId="0" applyNumberFormat="1" applyFont="1"/>
    <xf numFmtId="171" fontId="1" fillId="0" borderId="1" xfId="1" applyNumberFormat="1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2" fillId="0" borderId="1" xfId="0" applyFont="1" applyBorder="1" applyAlignment="1"/>
    <xf numFmtId="171" fontId="13" fillId="0" borderId="0" xfId="1" applyNumberFormat="1" applyFont="1" applyFill="1" applyBorder="1" applyAlignment="1"/>
    <xf numFmtId="171" fontId="0" fillId="0" borderId="0" xfId="0" applyNumberFormat="1"/>
    <xf numFmtId="174" fontId="49" fillId="0" borderId="0" xfId="0" applyNumberFormat="1" applyFont="1"/>
    <xf numFmtId="171" fontId="11" fillId="0" borderId="0" xfId="0" applyNumberFormat="1" applyFont="1"/>
    <xf numFmtId="3" fontId="7" fillId="0" borderId="0" xfId="0" applyNumberFormat="1" applyFont="1" applyFill="1"/>
    <xf numFmtId="0" fontId="58" fillId="0" borderId="0" xfId="0" applyFont="1"/>
    <xf numFmtId="171" fontId="58" fillId="0" borderId="0" xfId="1" applyNumberFormat="1" applyFont="1"/>
    <xf numFmtId="174" fontId="7" fillId="0" borderId="0" xfId="0" applyNumberFormat="1" applyFont="1" applyFill="1"/>
    <xf numFmtId="164" fontId="58" fillId="0" borderId="0" xfId="0" applyNumberFormat="1" applyFont="1"/>
    <xf numFmtId="166" fontId="8" fillId="0" borderId="0" xfId="1" applyNumberFormat="1" applyFont="1" applyBorder="1" applyAlignment="1">
      <alignment horizontal="center" vertical="center"/>
    </xf>
    <xf numFmtId="165" fontId="8" fillId="0" borderId="0" xfId="1" applyNumberFormat="1" applyFont="1" applyBorder="1" applyAlignment="1">
      <alignment horizontal="right" vertical="center"/>
    </xf>
    <xf numFmtId="171" fontId="8" fillId="0" borderId="0" xfId="1" applyNumberFormat="1" applyFont="1" applyBorder="1" applyAlignment="1">
      <alignment horizontal="right" vertical="center"/>
    </xf>
    <xf numFmtId="170" fontId="8" fillId="0" borderId="0" xfId="1" applyNumberFormat="1" applyFont="1" applyBorder="1" applyAlignment="1">
      <alignment horizontal="right" vertical="center"/>
    </xf>
    <xf numFmtId="9" fontId="8" fillId="0" borderId="0" xfId="1" applyNumberFormat="1" applyFont="1" applyBorder="1" applyAlignment="1">
      <alignment horizontal="right" vertical="center"/>
    </xf>
    <xf numFmtId="171" fontId="35" fillId="0" borderId="0" xfId="1" applyNumberFormat="1" applyFont="1" applyBorder="1" applyAlignment="1">
      <alignment horizontal="right" vertical="center"/>
    </xf>
    <xf numFmtId="171" fontId="35" fillId="0" borderId="0" xfId="1" applyNumberFormat="1" applyFont="1" applyBorder="1" applyAlignment="1">
      <alignment horizontal="center" vertical="center"/>
    </xf>
    <xf numFmtId="166" fontId="31" fillId="0" borderId="1" xfId="2" applyNumberFormat="1" applyFont="1" applyFill="1" applyBorder="1" applyAlignment="1">
      <alignment horizontal="center" vertical="center"/>
    </xf>
    <xf numFmtId="166" fontId="8" fillId="0" borderId="1" xfId="2" applyNumberFormat="1" applyFont="1" applyFill="1" applyBorder="1" applyAlignment="1">
      <alignment horizontal="center" vertical="center"/>
    </xf>
    <xf numFmtId="0" fontId="36" fillId="0" borderId="1" xfId="4" applyFont="1" applyFill="1" applyBorder="1" applyAlignment="1">
      <alignment horizontal="center" vertical="center"/>
    </xf>
    <xf numFmtId="0" fontId="36" fillId="0" borderId="1" xfId="4" applyFont="1" applyFill="1" applyBorder="1" applyAlignment="1">
      <alignment horizontal="right" vertical="center"/>
    </xf>
    <xf numFmtId="1" fontId="7" fillId="0" borderId="1" xfId="4" applyNumberFormat="1" applyFont="1" applyFill="1" applyBorder="1"/>
    <xf numFmtId="1" fontId="7" fillId="0" borderId="1" xfId="4" quotePrefix="1" applyNumberFormat="1" applyFont="1" applyFill="1" applyBorder="1" applyAlignment="1">
      <alignment horizontal="right"/>
    </xf>
    <xf numFmtId="1" fontId="7" fillId="0" borderId="1" xfId="4" applyNumberFormat="1" applyFont="1" applyFill="1" applyBorder="1" applyAlignment="1">
      <alignment horizontal="right"/>
    </xf>
    <xf numFmtId="1" fontId="7" fillId="0" borderId="1" xfId="4" applyNumberFormat="1" applyFont="1" applyFill="1" applyBorder="1" applyAlignment="1">
      <alignment horizontal="right" vertical="center"/>
    </xf>
    <xf numFmtId="1" fontId="8" fillId="0" borderId="1" xfId="4" applyNumberFormat="1" applyFont="1" applyFill="1" applyBorder="1" applyAlignment="1">
      <alignment horizontal="right"/>
    </xf>
    <xf numFmtId="171" fontId="31" fillId="0" borderId="1" xfId="1" applyNumberFormat="1" applyFont="1" applyBorder="1" applyAlignment="1">
      <alignment horizontal="center" vertical="center"/>
    </xf>
    <xf numFmtId="171" fontId="8" fillId="0" borderId="1" xfId="1" applyNumberFormat="1" applyFont="1" applyBorder="1" applyAlignment="1">
      <alignment horizontal="center" vertical="center"/>
    </xf>
    <xf numFmtId="171" fontId="1" fillId="0" borderId="1" xfId="1" applyNumberFormat="1" applyFont="1" applyBorder="1"/>
    <xf numFmtId="1" fontId="7" fillId="0" borderId="1" xfId="4" applyNumberFormat="1" applyFont="1" applyBorder="1"/>
    <xf numFmtId="1" fontId="7" fillId="0" borderId="1" xfId="4" applyNumberFormat="1" applyFont="1" applyBorder="1" applyAlignment="1">
      <alignment horizontal="right"/>
    </xf>
    <xf numFmtId="1" fontId="7" fillId="0" borderId="1" xfId="4" applyNumberFormat="1" applyFont="1" applyBorder="1" applyAlignment="1">
      <alignment horizontal="right" vertical="center"/>
    </xf>
    <xf numFmtId="171" fontId="42" fillId="0" borderId="0" xfId="1" applyNumberFormat="1" applyFont="1"/>
    <xf numFmtId="171" fontId="42" fillId="0" borderId="0" xfId="0" applyNumberFormat="1" applyFont="1"/>
    <xf numFmtId="171" fontId="7" fillId="0" borderId="0" xfId="1" applyNumberFormat="1" applyFont="1" applyFill="1"/>
    <xf numFmtId="0" fontId="7" fillId="0" borderId="0" xfId="0" applyFont="1" applyFill="1"/>
    <xf numFmtId="166" fontId="7" fillId="0" borderId="0" xfId="1" applyNumberFormat="1" applyFont="1" applyFill="1"/>
    <xf numFmtId="0" fontId="2" fillId="0" borderId="0" xfId="4" applyFont="1" applyFill="1" applyBorder="1" applyAlignment="1">
      <alignment horizontal="center"/>
    </xf>
    <xf numFmtId="0" fontId="2" fillId="0" borderId="0" xfId="4" applyFont="1" applyFill="1" applyBorder="1" applyAlignment="1">
      <alignment horizontal="center" vertical="center"/>
    </xf>
    <xf numFmtId="171" fontId="7" fillId="0" borderId="0" xfId="1" applyNumberFormat="1" applyFont="1" applyFill="1" applyAlignment="1"/>
    <xf numFmtId="166" fontId="7" fillId="0" borderId="0" xfId="1" applyNumberFormat="1" applyFont="1" applyFill="1" applyAlignment="1"/>
    <xf numFmtId="0" fontId="2" fillId="0" borderId="1" xfId="4" applyFont="1" applyFill="1" applyBorder="1" applyAlignment="1">
      <alignment horizontal="center" vertical="center"/>
    </xf>
    <xf numFmtId="0" fontId="15" fillId="0" borderId="1" xfId="4" applyFont="1" applyBorder="1"/>
    <xf numFmtId="1" fontId="8" fillId="0" borderId="1" xfId="4" applyNumberFormat="1" applyFont="1" applyBorder="1" applyAlignment="1">
      <alignment horizontal="right"/>
    </xf>
    <xf numFmtId="166" fontId="15" fillId="0" borderId="1" xfId="2" applyNumberFormat="1" applyFont="1" applyBorder="1" applyAlignment="1">
      <alignment horizontal="right"/>
    </xf>
    <xf numFmtId="171" fontId="2" fillId="0" borderId="0" xfId="1" applyNumberFormat="1" applyFont="1"/>
    <xf numFmtId="166" fontId="1" fillId="0" borderId="0" xfId="4" applyNumberFormat="1" applyFont="1"/>
    <xf numFmtId="171" fontId="2" fillId="0" borderId="1" xfId="1" applyNumberFormat="1" applyFont="1" applyFill="1" applyBorder="1" applyAlignment="1">
      <alignment horizontal="center" vertical="center"/>
    </xf>
    <xf numFmtId="1" fontId="62" fillId="0" borderId="3" xfId="4" applyNumberFormat="1" applyFont="1" applyFill="1" applyBorder="1" applyAlignment="1">
      <alignment horizontal="right"/>
    </xf>
    <xf numFmtId="0" fontId="27" fillId="0" borderId="1" xfId="4" applyFont="1" applyFill="1" applyBorder="1"/>
    <xf numFmtId="164" fontId="35" fillId="0" borderId="1" xfId="1" applyNumberFormat="1" applyFont="1" applyBorder="1" applyAlignment="1">
      <alignment horizontal="right" vertical="center"/>
    </xf>
    <xf numFmtId="166" fontId="63" fillId="0" borderId="0" xfId="0" applyNumberFormat="1" applyFont="1" applyFill="1" applyBorder="1" applyAlignment="1"/>
    <xf numFmtId="166" fontId="8" fillId="0" borderId="5" xfId="2" applyNumberFormat="1" applyFont="1" applyBorder="1" applyAlignment="1">
      <alignment horizontal="center" vertical="center" wrapText="1"/>
    </xf>
    <xf numFmtId="166" fontId="35" fillId="0" borderId="1" xfId="1" applyNumberFormat="1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3" fontId="35" fillId="0" borderId="0" xfId="0" applyNumberFormat="1" applyFont="1" applyFill="1"/>
    <xf numFmtId="166" fontId="35" fillId="0" borderId="0" xfId="0" applyNumberFormat="1" applyFont="1" applyFill="1"/>
    <xf numFmtId="171" fontId="35" fillId="0" borderId="0" xfId="1" applyNumberFormat="1" applyFont="1" applyFill="1" applyAlignment="1">
      <alignment horizontal="center"/>
    </xf>
    <xf numFmtId="166" fontId="64" fillId="0" borderId="0" xfId="4" applyNumberFormat="1" applyFont="1"/>
    <xf numFmtId="0" fontId="57" fillId="0" borderId="1" xfId="4" applyFont="1" applyBorder="1"/>
    <xf numFmtId="171" fontId="57" fillId="0" borderId="0" xfId="1" applyNumberFormat="1" applyFont="1"/>
    <xf numFmtId="166" fontId="57" fillId="0" borderId="0" xfId="2" applyNumberFormat="1" applyFont="1"/>
    <xf numFmtId="0" fontId="57" fillId="0" borderId="0" xfId="4" applyFont="1"/>
    <xf numFmtId="1" fontId="7" fillId="0" borderId="1" xfId="4" quotePrefix="1" applyNumberFormat="1" applyFont="1" applyBorder="1" applyAlignment="1">
      <alignment horizontal="right"/>
    </xf>
    <xf numFmtId="0" fontId="15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3" fontId="8" fillId="0" borderId="5" xfId="0" applyNumberFormat="1" applyFont="1" applyFill="1" applyBorder="1" applyAlignment="1">
      <alignment horizontal="center" vertical="center" wrapText="1"/>
    </xf>
    <xf numFmtId="3" fontId="8" fillId="0" borderId="6" xfId="0" applyNumberFormat="1" applyFont="1" applyFill="1" applyBorder="1" applyAlignment="1">
      <alignment horizontal="center" vertical="center" wrapText="1"/>
    </xf>
    <xf numFmtId="166" fontId="8" fillId="0" borderId="1" xfId="1" applyNumberFormat="1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/>
    </xf>
    <xf numFmtId="171" fontId="27" fillId="0" borderId="0" xfId="1" applyNumberFormat="1" applyFont="1" applyFill="1" applyAlignment="1"/>
    <xf numFmtId="9" fontId="8" fillId="0" borderId="1" xfId="6" applyFont="1" applyFill="1" applyBorder="1" applyAlignment="1">
      <alignment horizontal="center" vertical="center" wrapText="1"/>
    </xf>
    <xf numFmtId="166" fontId="8" fillId="0" borderId="1" xfId="3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65" fontId="35" fillId="0" borderId="1" xfId="1" applyNumberFormat="1" applyFont="1" applyBorder="1" applyAlignment="1">
      <alignment horizontal="right" vertical="center"/>
    </xf>
    <xf numFmtId="0" fontId="27" fillId="0" borderId="0" xfId="0" applyFont="1"/>
    <xf numFmtId="0" fontId="65" fillId="0" borderId="0" xfId="0" applyFont="1"/>
    <xf numFmtId="166" fontId="66" fillId="0" borderId="0" xfId="1" applyNumberFormat="1" applyFont="1"/>
    <xf numFmtId="0" fontId="66" fillId="0" borderId="0" xfId="0" applyFont="1"/>
    <xf numFmtId="4" fontId="27" fillId="0" borderId="0" xfId="0" applyNumberFormat="1" applyFont="1"/>
    <xf numFmtId="9" fontId="27" fillId="0" borderId="0" xfId="6" applyFont="1"/>
    <xf numFmtId="3" fontId="27" fillId="0" borderId="0" xfId="0" applyNumberFormat="1" applyFont="1"/>
    <xf numFmtId="174" fontId="35" fillId="0" borderId="0" xfId="0" applyNumberFormat="1" applyFont="1"/>
    <xf numFmtId="0" fontId="27" fillId="0" borderId="1" xfId="0" applyFont="1" applyBorder="1" applyAlignment="1">
      <alignment vertical="center"/>
    </xf>
    <xf numFmtId="43" fontId="35" fillId="0" borderId="1" xfId="1" applyFont="1" applyFill="1" applyBorder="1" applyAlignment="1">
      <alignment horizontal="center" vertical="center" wrapText="1"/>
    </xf>
    <xf numFmtId="164" fontId="35" fillId="0" borderId="1" xfId="1" applyNumberFormat="1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3" fontId="27" fillId="0" borderId="1" xfId="0" applyNumberFormat="1" applyFont="1" applyFill="1" applyBorder="1" applyAlignment="1">
      <alignment horizontal="center" vertical="center" wrapText="1"/>
    </xf>
    <xf numFmtId="166" fontId="27" fillId="0" borderId="1" xfId="1" applyNumberFormat="1" applyFont="1" applyFill="1" applyBorder="1" applyAlignment="1">
      <alignment horizontal="center" vertical="center" wrapText="1"/>
    </xf>
    <xf numFmtId="166" fontId="27" fillId="0" borderId="1" xfId="3" applyNumberFormat="1" applyFont="1" applyFill="1" applyBorder="1" applyAlignment="1">
      <alignment horizontal="center" vertical="center" wrapText="1"/>
    </xf>
    <xf numFmtId="164" fontId="27" fillId="0" borderId="1" xfId="1" applyNumberFormat="1" applyFont="1" applyFill="1" applyBorder="1" applyAlignment="1">
      <alignment horizontal="center" vertical="center" wrapText="1"/>
    </xf>
    <xf numFmtId="1" fontId="27" fillId="0" borderId="1" xfId="0" applyNumberFormat="1" applyFont="1" applyFill="1" applyBorder="1" applyAlignment="1">
      <alignment horizontal="center" vertical="center" wrapText="1"/>
    </xf>
    <xf numFmtId="2" fontId="27" fillId="0" borderId="1" xfId="0" applyNumberFormat="1" applyFont="1" applyFill="1" applyBorder="1" applyAlignment="1">
      <alignment horizontal="center" vertical="center" wrapText="1"/>
    </xf>
    <xf numFmtId="174" fontId="27" fillId="0" borderId="1" xfId="1" applyNumberFormat="1" applyFont="1" applyFill="1" applyBorder="1" applyAlignment="1">
      <alignment horizontal="center" vertical="center" wrapText="1"/>
    </xf>
    <xf numFmtId="0" fontId="27" fillId="0" borderId="2" xfId="0" applyFont="1" applyBorder="1" applyAlignment="1">
      <alignment horizontal="center"/>
    </xf>
    <xf numFmtId="0" fontId="27" fillId="0" borderId="7" xfId="0" applyFont="1" applyBorder="1" applyAlignment="1"/>
    <xf numFmtId="0" fontId="27" fillId="0" borderId="8" xfId="0" applyFont="1" applyBorder="1" applyAlignment="1"/>
    <xf numFmtId="1" fontId="27" fillId="0" borderId="2" xfId="4" applyNumberFormat="1" applyFont="1" applyBorder="1"/>
    <xf numFmtId="0" fontId="27" fillId="0" borderId="2" xfId="0" applyFont="1" applyBorder="1" applyAlignment="1">
      <alignment horizontal="left"/>
    </xf>
    <xf numFmtId="49" fontId="27" fillId="0" borderId="2" xfId="0" applyNumberFormat="1" applyFont="1" applyBorder="1" applyAlignment="1">
      <alignment horizontal="center"/>
    </xf>
    <xf numFmtId="4" fontId="27" fillId="0" borderId="2" xfId="0" applyNumberFormat="1" applyFont="1" applyBorder="1" applyAlignment="1"/>
    <xf numFmtId="3" fontId="27" fillId="0" borderId="2" xfId="0" applyNumberFormat="1" applyFont="1" applyBorder="1" applyAlignment="1"/>
    <xf numFmtId="166" fontId="27" fillId="0" borderId="2" xfId="1" applyNumberFormat="1" applyFont="1" applyBorder="1" applyAlignment="1"/>
    <xf numFmtId="9" fontId="27" fillId="0" borderId="2" xfId="6" applyFont="1" applyBorder="1" applyAlignment="1"/>
    <xf numFmtId="3" fontId="27" fillId="0" borderId="2" xfId="1" applyNumberFormat="1" applyFont="1" applyBorder="1" applyAlignment="1">
      <alignment horizontal="right"/>
    </xf>
    <xf numFmtId="3" fontId="27" fillId="0" borderId="2" xfId="0" applyNumberFormat="1" applyFont="1" applyBorder="1" applyAlignment="1">
      <alignment horizontal="right"/>
    </xf>
    <xf numFmtId="0" fontId="27" fillId="0" borderId="3" xfId="0" applyFont="1" applyBorder="1" applyAlignment="1">
      <alignment horizontal="center"/>
    </xf>
    <xf numFmtId="0" fontId="27" fillId="0" borderId="9" xfId="0" applyFont="1" applyBorder="1" applyAlignment="1"/>
    <xf numFmtId="0" fontId="27" fillId="0" borderId="10" xfId="0" applyFont="1" applyBorder="1" applyAlignment="1"/>
    <xf numFmtId="1" fontId="27" fillId="0" borderId="3" xfId="4" applyNumberFormat="1" applyFont="1" applyBorder="1"/>
    <xf numFmtId="0" fontId="27" fillId="0" borderId="3" xfId="0" applyFont="1" applyBorder="1" applyAlignment="1">
      <alignment horizontal="left"/>
    </xf>
    <xf numFmtId="49" fontId="27" fillId="0" borderId="3" xfId="0" applyNumberFormat="1" applyFont="1" applyBorder="1" applyAlignment="1">
      <alignment horizontal="center"/>
    </xf>
    <xf numFmtId="4" fontId="27" fillId="0" borderId="3" xfId="0" applyNumberFormat="1" applyFont="1" applyBorder="1" applyAlignment="1"/>
    <xf numFmtId="3" fontId="27" fillId="0" borderId="3" xfId="0" applyNumberFormat="1" applyFont="1" applyBorder="1" applyAlignment="1"/>
    <xf numFmtId="166" fontId="27" fillId="0" borderId="3" xfId="1" applyNumberFormat="1" applyFont="1" applyBorder="1" applyAlignment="1"/>
    <xf numFmtId="9" fontId="27" fillId="0" borderId="3" xfId="6" applyFont="1" applyBorder="1" applyAlignment="1"/>
    <xf numFmtId="165" fontId="27" fillId="0" borderId="3" xfId="1" applyNumberFormat="1" applyFont="1" applyBorder="1" applyAlignment="1"/>
    <xf numFmtId="3" fontId="27" fillId="0" borderId="3" xfId="1" applyNumberFormat="1" applyFont="1" applyBorder="1" applyAlignment="1">
      <alignment horizontal="right"/>
    </xf>
    <xf numFmtId="3" fontId="27" fillId="0" borderId="3" xfId="0" applyNumberFormat="1" applyFont="1" applyBorder="1" applyAlignment="1">
      <alignment horizontal="right"/>
    </xf>
    <xf numFmtId="0" fontId="27" fillId="2" borderId="3" xfId="0" applyFont="1" applyFill="1" applyBorder="1" applyAlignment="1">
      <alignment horizontal="center"/>
    </xf>
    <xf numFmtId="1" fontId="27" fillId="3" borderId="3" xfId="4" quotePrefix="1" applyNumberFormat="1" applyFont="1" applyFill="1" applyBorder="1" applyAlignment="1">
      <alignment horizontal="right"/>
    </xf>
    <xf numFmtId="49" fontId="27" fillId="0" borderId="3" xfId="0" quotePrefix="1" applyNumberFormat="1" applyFont="1" applyFill="1" applyBorder="1" applyAlignment="1">
      <alignment horizontal="center"/>
    </xf>
    <xf numFmtId="1" fontId="27" fillId="0" borderId="3" xfId="4" applyNumberFormat="1" applyFont="1" applyBorder="1" applyAlignment="1">
      <alignment horizontal="right"/>
    </xf>
    <xf numFmtId="166" fontId="35" fillId="0" borderId="0" xfId="1" applyNumberFormat="1" applyFont="1"/>
    <xf numFmtId="1" fontId="27" fillId="0" borderId="3" xfId="4" applyNumberFormat="1" applyFont="1" applyFill="1" applyBorder="1" applyAlignment="1">
      <alignment horizontal="right"/>
    </xf>
    <xf numFmtId="0" fontId="27" fillId="0" borderId="11" xfId="0" applyFont="1" applyBorder="1" applyAlignment="1"/>
    <xf numFmtId="0" fontId="27" fillId="0" borderId="12" xfId="0" applyFont="1" applyBorder="1" applyAlignment="1"/>
    <xf numFmtId="0" fontId="27" fillId="0" borderId="4" xfId="0" applyFont="1" applyBorder="1" applyAlignment="1">
      <alignment horizontal="center"/>
    </xf>
    <xf numFmtId="1" fontId="27" fillId="0" borderId="4" xfId="4" applyNumberFormat="1" applyFont="1" applyFill="1" applyBorder="1" applyAlignment="1">
      <alignment horizontal="right"/>
    </xf>
    <xf numFmtId="0" fontId="27" fillId="0" borderId="4" xfId="0" applyFont="1" applyBorder="1" applyAlignment="1">
      <alignment horizontal="left"/>
    </xf>
    <xf numFmtId="49" fontId="27" fillId="0" borderId="4" xfId="0" applyNumberFormat="1" applyFont="1" applyBorder="1" applyAlignment="1">
      <alignment horizontal="center"/>
    </xf>
    <xf numFmtId="4" fontId="27" fillId="0" borderId="4" xfId="0" applyNumberFormat="1" applyFont="1" applyBorder="1" applyAlignment="1"/>
    <xf numFmtId="3" fontId="27" fillId="0" borderId="4" xfId="0" applyNumberFormat="1" applyFont="1" applyBorder="1" applyAlignment="1"/>
    <xf numFmtId="166" fontId="27" fillId="0" borderId="4" xfId="1" applyNumberFormat="1" applyFont="1" applyBorder="1" applyAlignment="1"/>
    <xf numFmtId="9" fontId="27" fillId="0" borderId="4" xfId="6" applyFont="1" applyBorder="1" applyAlignment="1"/>
    <xf numFmtId="165" fontId="27" fillId="0" borderId="4" xfId="1" applyNumberFormat="1" applyFont="1" applyBorder="1" applyAlignment="1"/>
    <xf numFmtId="3" fontId="27" fillId="0" borderId="4" xfId="1" applyNumberFormat="1" applyFont="1" applyBorder="1" applyAlignment="1">
      <alignment horizontal="right"/>
    </xf>
    <xf numFmtId="3" fontId="27" fillId="0" borderId="4" xfId="0" applyNumberFormat="1" applyFont="1" applyBorder="1" applyAlignment="1">
      <alignment horizontal="right"/>
    </xf>
    <xf numFmtId="166" fontId="35" fillId="0" borderId="0" xfId="1" applyNumberFormat="1" applyFont="1" applyBorder="1" applyAlignment="1">
      <alignment horizontal="center" vertical="center"/>
    </xf>
    <xf numFmtId="165" fontId="35" fillId="0" borderId="0" xfId="1" applyNumberFormat="1" applyFont="1" applyBorder="1" applyAlignment="1">
      <alignment horizontal="right" vertical="center"/>
    </xf>
    <xf numFmtId="170" fontId="35" fillId="0" borderId="0" xfId="1" applyNumberFormat="1" applyFont="1" applyBorder="1" applyAlignment="1">
      <alignment horizontal="right" vertical="center"/>
    </xf>
    <xf numFmtId="9" fontId="35" fillId="0" borderId="0" xfId="1" applyNumberFormat="1" applyFont="1" applyBorder="1" applyAlignment="1">
      <alignment horizontal="right" vertical="center"/>
    </xf>
    <xf numFmtId="166" fontId="2" fillId="0" borderId="0" xfId="1" applyNumberFormat="1" applyFont="1" applyFill="1"/>
    <xf numFmtId="0" fontId="2" fillId="0" borderId="0" xfId="0" applyFont="1" applyFill="1" applyAlignment="1"/>
    <xf numFmtId="3" fontId="13" fillId="0" borderId="0" xfId="0" applyNumberFormat="1" applyFont="1" applyFill="1"/>
    <xf numFmtId="3" fontId="1" fillId="0" borderId="0" xfId="0" applyNumberFormat="1" applyFont="1" applyFill="1"/>
    <xf numFmtId="1" fontId="2" fillId="0" borderId="0" xfId="0" applyNumberFormat="1" applyFont="1" applyFill="1"/>
    <xf numFmtId="3" fontId="1" fillId="0" borderId="0" xfId="0" applyNumberFormat="1" applyFont="1" applyFill="1" applyAlignment="1"/>
    <xf numFmtId="171" fontId="1" fillId="3" borderId="0" xfId="1" applyNumberFormat="1" applyFont="1" applyFill="1"/>
    <xf numFmtId="171" fontId="1" fillId="0" borderId="0" xfId="1" applyNumberFormat="1" applyFont="1" applyFill="1"/>
    <xf numFmtId="166" fontId="1" fillId="0" borderId="0" xfId="1" applyNumberFormat="1" applyFont="1" applyFill="1" applyAlignment="1"/>
    <xf numFmtId="166" fontId="1" fillId="0" borderId="0" xfId="0" applyNumberFormat="1" applyFont="1" applyFill="1"/>
    <xf numFmtId="166" fontId="2" fillId="0" borderId="0" xfId="1" applyNumberFormat="1" applyFont="1" applyFill="1" applyAlignment="1">
      <alignment horizontal="right"/>
    </xf>
    <xf numFmtId="3" fontId="2" fillId="0" borderId="0" xfId="0" applyNumberFormat="1" applyFont="1" applyFill="1"/>
    <xf numFmtId="171" fontId="2" fillId="0" borderId="0" xfId="1" applyNumberFormat="1" applyFont="1" applyFill="1"/>
    <xf numFmtId="166" fontId="2" fillId="0" borderId="0" xfId="0" applyNumberFormat="1" applyFont="1" applyFill="1"/>
    <xf numFmtId="171" fontId="2" fillId="0" borderId="0" xfId="1" applyNumberFormat="1" applyFont="1" applyFill="1" applyAlignment="1">
      <alignment horizontal="center"/>
    </xf>
    <xf numFmtId="168" fontId="1" fillId="0" borderId="0" xfId="0" applyNumberFormat="1" applyFont="1" applyFill="1" applyAlignment="1"/>
    <xf numFmtId="174" fontId="1" fillId="0" borderId="0" xfId="0" applyNumberFormat="1" applyFont="1" applyFill="1"/>
    <xf numFmtId="9" fontId="1" fillId="0" borderId="0" xfId="6" quotePrefix="1" applyFont="1" applyFill="1" applyAlignment="1">
      <alignment horizontal="right"/>
    </xf>
    <xf numFmtId="166" fontId="1" fillId="0" borderId="0" xfId="1" applyNumberFormat="1" applyFont="1" applyFill="1"/>
    <xf numFmtId="0" fontId="13" fillId="0" borderId="0" xfId="0" applyFont="1" applyFill="1"/>
    <xf numFmtId="3" fontId="2" fillId="0" borderId="0" xfId="0" applyNumberFormat="1" applyFont="1" applyFill="1" applyBorder="1" applyAlignment="1">
      <alignment horizontal="left"/>
    </xf>
    <xf numFmtId="3" fontId="1" fillId="0" borderId="0" xfId="0" applyNumberFormat="1" applyFont="1" applyFill="1" applyBorder="1" applyAlignment="1">
      <alignment horizontal="left"/>
    </xf>
    <xf numFmtId="43" fontId="1" fillId="0" borderId="0" xfId="1" applyFont="1" applyFill="1" applyBorder="1" applyAlignment="1">
      <alignment horizontal="left"/>
    </xf>
    <xf numFmtId="0" fontId="1" fillId="0" borderId="0" xfId="4" applyFont="1" applyBorder="1" applyAlignment="1">
      <alignment horizontal="left" vertical="center" wrapText="1"/>
    </xf>
    <xf numFmtId="0" fontId="8" fillId="0" borderId="5" xfId="4" applyFont="1" applyBorder="1" applyAlignment="1">
      <alignment horizontal="center" vertical="center" wrapText="1"/>
    </xf>
    <xf numFmtId="166" fontId="15" fillId="0" borderId="1" xfId="2" applyNumberFormat="1" applyFont="1" applyBorder="1" applyAlignment="1">
      <alignment horizontal="center"/>
    </xf>
    <xf numFmtId="0" fontId="27" fillId="0" borderId="1" xfId="0" applyFont="1" applyBorder="1" applyAlignment="1">
      <alignment horizontal="center" vertical="center"/>
    </xf>
    <xf numFmtId="0" fontId="27" fillId="3" borderId="3" xfId="0" applyFont="1" applyFill="1" applyBorder="1" applyAlignment="1">
      <alignment horizontal="center"/>
    </xf>
    <xf numFmtId="0" fontId="27" fillId="3" borderId="9" xfId="0" applyFont="1" applyFill="1" applyBorder="1" applyAlignment="1"/>
    <xf numFmtId="0" fontId="27" fillId="3" borderId="10" xfId="0" applyFont="1" applyFill="1" applyBorder="1" applyAlignment="1"/>
    <xf numFmtId="1" fontId="27" fillId="3" borderId="3" xfId="4" applyNumberFormat="1" applyFont="1" applyFill="1" applyBorder="1" applyAlignment="1">
      <alignment horizontal="right"/>
    </xf>
    <xf numFmtId="0" fontId="27" fillId="3" borderId="3" xfId="0" applyFont="1" applyFill="1" applyBorder="1" applyAlignment="1">
      <alignment horizontal="left"/>
    </xf>
    <xf numFmtId="49" fontId="27" fillId="3" borderId="3" xfId="0" applyNumberFormat="1" applyFont="1" applyFill="1" applyBorder="1" applyAlignment="1">
      <alignment horizontal="center"/>
    </xf>
    <xf numFmtId="4" fontId="27" fillId="3" borderId="3" xfId="0" applyNumberFormat="1" applyFont="1" applyFill="1" applyBorder="1" applyAlignment="1"/>
    <xf numFmtId="3" fontId="27" fillId="3" borderId="3" xfId="0" applyNumberFormat="1" applyFont="1" applyFill="1" applyBorder="1" applyAlignment="1"/>
    <xf numFmtId="166" fontId="27" fillId="3" borderId="3" xfId="1" applyNumberFormat="1" applyFont="1" applyFill="1" applyBorder="1" applyAlignment="1"/>
    <xf numFmtId="9" fontId="27" fillId="3" borderId="3" xfId="6" applyFont="1" applyFill="1" applyBorder="1" applyAlignment="1"/>
    <xf numFmtId="176" fontId="27" fillId="3" borderId="3" xfId="0" applyNumberFormat="1" applyFont="1" applyFill="1" applyBorder="1" applyAlignment="1"/>
    <xf numFmtId="165" fontId="27" fillId="3" borderId="3" xfId="0" applyNumberFormat="1" applyFont="1" applyFill="1" applyBorder="1" applyAlignment="1"/>
    <xf numFmtId="3" fontId="27" fillId="3" borderId="3" xfId="1" applyNumberFormat="1" applyFont="1" applyFill="1" applyBorder="1" applyAlignment="1">
      <alignment horizontal="right"/>
    </xf>
    <xf numFmtId="3" fontId="27" fillId="3" borderId="3" xfId="0" applyNumberFormat="1" applyFont="1" applyFill="1" applyBorder="1" applyAlignment="1">
      <alignment horizontal="right"/>
    </xf>
    <xf numFmtId="0" fontId="27" fillId="3" borderId="0" xfId="0" applyFont="1" applyFill="1"/>
    <xf numFmtId="165" fontId="27" fillId="3" borderId="3" xfId="1" applyNumberFormat="1" applyFont="1" applyFill="1" applyBorder="1" applyAlignment="1"/>
    <xf numFmtId="1" fontId="27" fillId="3" borderId="3" xfId="4" applyNumberFormat="1" applyFont="1" applyFill="1" applyBorder="1"/>
    <xf numFmtId="3" fontId="27" fillId="3" borderId="0" xfId="0" applyNumberFormat="1" applyFont="1" applyFill="1"/>
    <xf numFmtId="166" fontId="35" fillId="0" borderId="1" xfId="1" applyNumberFormat="1" applyFont="1" applyBorder="1" applyAlignment="1">
      <alignment horizontal="right" vertical="center"/>
    </xf>
    <xf numFmtId="177" fontId="35" fillId="0" borderId="1" xfId="1" applyNumberFormat="1" applyFont="1" applyBorder="1" applyAlignment="1">
      <alignment horizontal="right" vertical="center"/>
    </xf>
    <xf numFmtId="3" fontId="68" fillId="0" borderId="0" xfId="0" applyNumberFormat="1" applyFont="1" applyFill="1"/>
    <xf numFmtId="0" fontId="27" fillId="3" borderId="3" xfId="0" quotePrefix="1" applyFont="1" applyFill="1" applyBorder="1" applyAlignment="1">
      <alignment horizontal="center"/>
    </xf>
    <xf numFmtId="176" fontId="27" fillId="0" borderId="3" xfId="0" applyNumberFormat="1" applyFont="1" applyBorder="1" applyAlignment="1"/>
    <xf numFmtId="176" fontId="27" fillId="0" borderId="4" xfId="0" applyNumberFormat="1" applyFont="1" applyBorder="1" applyAlignment="1"/>
    <xf numFmtId="171" fontId="0" fillId="0" borderId="0" xfId="1" applyNumberFormat="1" applyFont="1"/>
    <xf numFmtId="175" fontId="0" fillId="0" borderId="0" xfId="1" applyNumberFormat="1" applyFont="1"/>
    <xf numFmtId="171" fontId="69" fillId="2" borderId="0" xfId="1" applyNumberFormat="1" applyFont="1" applyFill="1"/>
    <xf numFmtId="171" fontId="0" fillId="4" borderId="0" xfId="1" applyNumberFormat="1" applyFont="1" applyFill="1"/>
    <xf numFmtId="3" fontId="35" fillId="0" borderId="1" xfId="1" applyNumberFormat="1" applyFont="1" applyBorder="1" applyAlignment="1">
      <alignment horizontal="right" vertical="center"/>
    </xf>
    <xf numFmtId="0" fontId="27" fillId="3" borderId="32" xfId="0" applyFont="1" applyFill="1" applyBorder="1" applyAlignment="1">
      <alignment wrapText="1"/>
    </xf>
    <xf numFmtId="166" fontId="1" fillId="0" borderId="1" xfId="2" applyNumberFormat="1" applyFont="1" applyBorder="1" applyAlignment="1">
      <alignment horizontal="center"/>
    </xf>
    <xf numFmtId="166" fontId="15" fillId="3" borderId="0" xfId="1" applyNumberFormat="1" applyFont="1" applyFill="1"/>
    <xf numFmtId="3" fontId="1" fillId="3" borderId="0" xfId="0" applyNumberFormat="1" applyFont="1" applyFill="1"/>
    <xf numFmtId="9" fontId="38" fillId="3" borderId="0" xfId="6" applyFont="1" applyFill="1"/>
    <xf numFmtId="166" fontId="13" fillId="3" borderId="0" xfId="1" applyNumberFormat="1" applyFont="1" applyFill="1" applyBorder="1" applyAlignment="1"/>
    <xf numFmtId="166" fontId="13" fillId="3" borderId="0" xfId="0" applyNumberFormat="1" applyFont="1" applyFill="1" applyBorder="1" applyAlignment="1"/>
    <xf numFmtId="1" fontId="17" fillId="3" borderId="0" xfId="0" applyNumberFormat="1" applyFont="1" applyFill="1"/>
    <xf numFmtId="3" fontId="16" fillId="3" borderId="0" xfId="0" applyNumberFormat="1" applyFont="1" applyFill="1" applyAlignment="1"/>
    <xf numFmtId="3" fontId="36" fillId="3" borderId="0" xfId="1" applyNumberFormat="1" applyFont="1" applyFill="1" applyAlignment="1"/>
    <xf numFmtId="3" fontId="27" fillId="3" borderId="0" xfId="1" applyNumberFormat="1" applyFont="1" applyFill="1" applyAlignment="1"/>
    <xf numFmtId="166" fontId="15" fillId="3" borderId="0" xfId="1" applyNumberFormat="1" applyFont="1" applyFill="1" applyAlignment="1">
      <alignment horizontal="right"/>
    </xf>
    <xf numFmtId="3" fontId="17" fillId="3" borderId="0" xfId="0" applyNumberFormat="1" applyFont="1" applyFill="1"/>
    <xf numFmtId="171" fontId="35" fillId="3" borderId="0" xfId="1" applyNumberFormat="1" applyFont="1" applyFill="1"/>
    <xf numFmtId="0" fontId="70" fillId="0" borderId="1" xfId="4" applyFont="1" applyBorder="1" applyAlignment="1">
      <alignment horizontal="center"/>
    </xf>
    <xf numFmtId="0" fontId="70" fillId="0" borderId="1" xfId="4" applyFont="1" applyBorder="1"/>
    <xf numFmtId="0" fontId="71" fillId="0" borderId="1" xfId="4" applyFont="1" applyBorder="1" applyAlignment="1">
      <alignment wrapText="1"/>
    </xf>
    <xf numFmtId="0" fontId="72" fillId="0" borderId="0" xfId="0" applyFont="1"/>
    <xf numFmtId="0" fontId="73" fillId="0" borderId="0" xfId="0" applyFont="1"/>
    <xf numFmtId="0" fontId="74" fillId="0" borderId="0" xfId="0" applyFont="1"/>
    <xf numFmtId="0" fontId="75" fillId="0" borderId="0" xfId="0" applyFont="1" applyFill="1"/>
    <xf numFmtId="174" fontId="73" fillId="0" borderId="0" xfId="0" applyNumberFormat="1" applyFont="1"/>
    <xf numFmtId="174" fontId="72" fillId="0" borderId="0" xfId="0" applyNumberFormat="1" applyFont="1"/>
    <xf numFmtId="0" fontId="37" fillId="0" borderId="0" xfId="0" applyFont="1"/>
    <xf numFmtId="166" fontId="72" fillId="0" borderId="0" xfId="0" applyNumberFormat="1" applyFont="1"/>
    <xf numFmtId="0" fontId="37" fillId="0" borderId="0" xfId="0" applyFont="1" applyAlignment="1"/>
    <xf numFmtId="0" fontId="11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2" fillId="0" borderId="1" xfId="0" applyFont="1" applyBorder="1" applyAlignment="1">
      <alignment horizontal="center" vertical="center"/>
    </xf>
    <xf numFmtId="166" fontId="44" fillId="0" borderId="0" xfId="1" applyNumberFormat="1" applyFont="1" applyAlignment="1">
      <alignment horizontal="center"/>
    </xf>
    <xf numFmtId="0" fontId="2" fillId="0" borderId="0" xfId="0" applyFont="1" applyBorder="1" applyAlignment="1"/>
    <xf numFmtId="3" fontId="2" fillId="0" borderId="0" xfId="0" applyNumberFormat="1" applyFont="1" applyBorder="1" applyAlignment="1">
      <alignment horizontal="center"/>
    </xf>
    <xf numFmtId="3" fontId="2" fillId="0" borderId="0" xfId="0" applyNumberFormat="1" applyFont="1" applyBorder="1" applyAlignment="1"/>
    <xf numFmtId="166" fontId="2" fillId="0" borderId="0" xfId="1" applyNumberFormat="1" applyFont="1" applyBorder="1" applyAlignment="1">
      <alignment horizontal="right"/>
    </xf>
    <xf numFmtId="165" fontId="2" fillId="0" borderId="0" xfId="1" applyNumberFormat="1" applyFont="1" applyBorder="1" applyAlignment="1">
      <alignment horizontal="right"/>
    </xf>
    <xf numFmtId="3" fontId="12" fillId="0" borderId="0" xfId="0" applyNumberFormat="1" applyFont="1" applyBorder="1" applyAlignment="1"/>
    <xf numFmtId="43" fontId="2" fillId="0" borderId="0" xfId="1" applyFont="1" applyBorder="1" applyAlignment="1">
      <alignment horizontal="right"/>
    </xf>
    <xf numFmtId="3" fontId="2" fillId="0" borderId="0" xfId="0" applyNumberFormat="1" applyFont="1" applyBorder="1"/>
    <xf numFmtId="166" fontId="46" fillId="0" borderId="0" xfId="1" applyNumberFormat="1" applyFont="1" applyFill="1" applyBorder="1"/>
    <xf numFmtId="0" fontId="42" fillId="0" borderId="0" xfId="0" applyFont="1" applyBorder="1"/>
    <xf numFmtId="0" fontId="47" fillId="0" borderId="0" xfId="0" applyFont="1" applyFill="1" applyBorder="1"/>
    <xf numFmtId="166" fontId="42" fillId="0" borderId="0" xfId="0" applyNumberFormat="1" applyFont="1" applyBorder="1"/>
    <xf numFmtId="166" fontId="46" fillId="0" borderId="0" xfId="1" applyNumberFormat="1" applyFont="1" applyBorder="1"/>
    <xf numFmtId="3" fontId="42" fillId="0" borderId="0" xfId="1" applyNumberFormat="1" applyFont="1" applyBorder="1"/>
    <xf numFmtId="3" fontId="2" fillId="0" borderId="1" xfId="0" applyNumberFormat="1" applyFont="1" applyBorder="1" applyAlignment="1"/>
    <xf numFmtId="3" fontId="2" fillId="0" borderId="1" xfId="0" applyNumberFormat="1" applyFont="1" applyBorder="1"/>
    <xf numFmtId="178" fontId="27" fillId="0" borderId="3" xfId="0" applyNumberFormat="1" applyFont="1" applyBorder="1" applyAlignment="1"/>
    <xf numFmtId="178" fontId="27" fillId="3" borderId="3" xfId="0" applyNumberFormat="1" applyFont="1" applyFill="1" applyBorder="1" applyAlignment="1"/>
    <xf numFmtId="178" fontId="27" fillId="0" borderId="4" xfId="0" applyNumberFormat="1" applyFont="1" applyBorder="1" applyAlignment="1"/>
    <xf numFmtId="179" fontId="0" fillId="0" borderId="0" xfId="1" applyNumberFormat="1" applyFont="1"/>
    <xf numFmtId="0" fontId="34" fillId="3" borderId="0" xfId="0" applyFont="1" applyFill="1"/>
    <xf numFmtId="174" fontId="35" fillId="0" borderId="1" xfId="1" applyNumberFormat="1" applyFont="1" applyBorder="1" applyAlignment="1">
      <alignment horizontal="right" vertical="center"/>
    </xf>
    <xf numFmtId="0" fontId="27" fillId="3" borderId="3" xfId="0" applyFont="1" applyFill="1" applyBorder="1" applyAlignment="1">
      <alignment wrapText="1"/>
    </xf>
    <xf numFmtId="166" fontId="2" fillId="0" borderId="1" xfId="2" applyNumberFormat="1" applyFont="1" applyBorder="1" applyAlignment="1">
      <alignment vertical="center"/>
    </xf>
    <xf numFmtId="166" fontId="2" fillId="0" borderId="1" xfId="2" quotePrefix="1" applyNumberFormat="1" applyFont="1" applyBorder="1" applyAlignment="1">
      <alignment vertical="center"/>
    </xf>
    <xf numFmtId="0" fontId="8" fillId="0" borderId="1" xfId="4" applyFont="1" applyBorder="1" applyAlignment="1">
      <alignment horizontal="center" vertical="center"/>
    </xf>
    <xf numFmtId="166" fontId="8" fillId="0" borderId="1" xfId="2" applyNumberFormat="1" applyFont="1" applyBorder="1" applyAlignment="1">
      <alignment horizontal="center" vertical="center"/>
    </xf>
    <xf numFmtId="0" fontId="2" fillId="0" borderId="17" xfId="4" applyFont="1" applyBorder="1" applyAlignment="1">
      <alignment horizontal="center"/>
    </xf>
    <xf numFmtId="0" fontId="2" fillId="0" borderId="0" xfId="4" applyFont="1" applyAlignment="1">
      <alignment horizontal="center"/>
    </xf>
    <xf numFmtId="0" fontId="8" fillId="0" borderId="1" xfId="4" applyFont="1" applyBorder="1" applyAlignment="1">
      <alignment horizontal="center" vertical="center" wrapText="1"/>
    </xf>
    <xf numFmtId="0" fontId="1" fillId="3" borderId="0" xfId="4" applyFont="1" applyFill="1" applyBorder="1" applyAlignment="1">
      <alignment horizontal="left" vertical="center" wrapText="1"/>
    </xf>
    <xf numFmtId="0" fontId="2" fillId="3" borderId="0" xfId="4" applyFont="1" applyFill="1" applyBorder="1" applyAlignment="1">
      <alignment horizontal="left" vertical="center" wrapText="1"/>
    </xf>
    <xf numFmtId="0" fontId="2" fillId="0" borderId="14" xfId="4" applyFont="1" applyBorder="1" applyAlignment="1">
      <alignment horizontal="center" vertical="center"/>
    </xf>
    <xf numFmtId="0" fontId="2" fillId="0" borderId="14" xfId="4" applyFont="1" applyBorder="1"/>
    <xf numFmtId="0" fontId="2" fillId="0" borderId="14" xfId="4" quotePrefix="1" applyFont="1" applyBorder="1" applyAlignment="1">
      <alignment horizontal="right" vertical="center"/>
    </xf>
    <xf numFmtId="1" fontId="8" fillId="0" borderId="14" xfId="4" applyNumberFormat="1" applyFont="1" applyFill="1" applyBorder="1" applyAlignment="1">
      <alignment horizontal="right"/>
    </xf>
    <xf numFmtId="166" fontId="2" fillId="0" borderId="14" xfId="2" applyNumberFormat="1" applyFont="1" applyFill="1" applyBorder="1" applyAlignment="1">
      <alignment horizontal="right"/>
    </xf>
    <xf numFmtId="49" fontId="27" fillId="0" borderId="3" xfId="0" applyNumberFormat="1" applyFont="1" applyFill="1" applyBorder="1" applyAlignment="1">
      <alignment horizontal="center"/>
    </xf>
    <xf numFmtId="9" fontId="49" fillId="0" borderId="0" xfId="6" applyFont="1"/>
    <xf numFmtId="0" fontId="49" fillId="0" borderId="0" xfId="0" applyFont="1" applyBorder="1"/>
    <xf numFmtId="171" fontId="49" fillId="0" borderId="0" xfId="0" applyNumberFormat="1" applyFont="1"/>
    <xf numFmtId="171" fontId="49" fillId="0" borderId="0" xfId="1" applyNumberFormat="1" applyFont="1"/>
    <xf numFmtId="3" fontId="49" fillId="0" borderId="0" xfId="0" applyNumberFormat="1" applyFont="1"/>
    <xf numFmtId="164" fontId="49" fillId="0" borderId="0" xfId="0" applyNumberFormat="1" applyFont="1"/>
    <xf numFmtId="0" fontId="77" fillId="0" borderId="0" xfId="0" applyFont="1"/>
    <xf numFmtId="9" fontId="77" fillId="0" borderId="0" xfId="6" applyFont="1"/>
    <xf numFmtId="174" fontId="77" fillId="0" borderId="0" xfId="0" applyNumberFormat="1" applyFont="1"/>
    <xf numFmtId="0" fontId="37" fillId="0" borderId="0" xfId="0" applyFont="1" applyAlignment="1">
      <alignment horizontal="center"/>
    </xf>
    <xf numFmtId="9" fontId="35" fillId="0" borderId="1" xfId="6" applyFont="1" applyFill="1" applyBorder="1" applyAlignment="1">
      <alignment horizontal="center" vertical="center" wrapText="1"/>
    </xf>
    <xf numFmtId="171" fontId="1" fillId="0" borderId="0" xfId="1" applyNumberFormat="1" applyFont="1" applyFill="1" applyAlignment="1"/>
    <xf numFmtId="166" fontId="35" fillId="0" borderId="1" xfId="3" applyNumberFormat="1" applyFont="1" applyFill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3" fontId="35" fillId="0" borderId="5" xfId="0" applyNumberFormat="1" applyFont="1" applyFill="1" applyBorder="1" applyAlignment="1">
      <alignment horizontal="center" vertical="center" wrapText="1"/>
    </xf>
    <xf numFmtId="3" fontId="35" fillId="0" borderId="6" xfId="0" applyNumberFormat="1" applyFont="1" applyFill="1" applyBorder="1" applyAlignment="1">
      <alignment horizontal="center" vertical="center" wrapText="1"/>
    </xf>
    <xf numFmtId="166" fontId="35" fillId="0" borderId="1" xfId="1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27" fillId="0" borderId="1" xfId="0" applyFont="1" applyBorder="1" applyAlignment="1">
      <alignment horizontal="center" vertical="center"/>
    </xf>
    <xf numFmtId="0" fontId="72" fillId="0" borderId="0" xfId="0" applyFont="1" applyAlignment="1">
      <alignment horizontal="center"/>
    </xf>
    <xf numFmtId="173" fontId="75" fillId="0" borderId="0" xfId="0" applyNumberFormat="1" applyFont="1" applyAlignment="1">
      <alignment horizontal="center"/>
    </xf>
    <xf numFmtId="0" fontId="27" fillId="0" borderId="1" xfId="0" applyFont="1" applyBorder="1"/>
    <xf numFmtId="0" fontId="27" fillId="3" borderId="1" xfId="0" applyFont="1" applyFill="1" applyBorder="1"/>
    <xf numFmtId="166" fontId="35" fillId="0" borderId="1" xfId="1" applyNumberFormat="1" applyFont="1" applyBorder="1"/>
    <xf numFmtId="166" fontId="27" fillId="0" borderId="1" xfId="1" applyNumberFormat="1" applyFont="1" applyFill="1" applyBorder="1" applyAlignment="1">
      <alignment vertical="center" wrapText="1"/>
    </xf>
    <xf numFmtId="0" fontId="27" fillId="3" borderId="2" xfId="0" applyFont="1" applyFill="1" applyBorder="1" applyAlignment="1">
      <alignment horizontal="center" wrapText="1"/>
    </xf>
    <xf numFmtId="0" fontId="27" fillId="3" borderId="3" xfId="0" applyFont="1" applyFill="1" applyBorder="1"/>
    <xf numFmtId="0" fontId="27" fillId="3" borderId="4" xfId="0" applyFont="1" applyFill="1" applyBorder="1" applyAlignment="1">
      <alignment wrapText="1"/>
    </xf>
    <xf numFmtId="0" fontId="27" fillId="3" borderId="3" xfId="0" applyFont="1" applyFill="1" applyBorder="1" applyAlignment="1">
      <alignment horizontal="center" vertical="center"/>
    </xf>
    <xf numFmtId="0" fontId="27" fillId="3" borderId="9" xfId="0" applyFont="1" applyFill="1" applyBorder="1" applyAlignment="1">
      <alignment vertical="center"/>
    </xf>
    <xf numFmtId="0" fontId="27" fillId="3" borderId="10" xfId="0" applyFont="1" applyFill="1" applyBorder="1" applyAlignment="1">
      <alignment vertical="center"/>
    </xf>
    <xf numFmtId="1" fontId="27" fillId="3" borderId="3" xfId="4" applyNumberFormat="1" applyFont="1" applyFill="1" applyBorder="1" applyAlignment="1">
      <alignment vertical="center"/>
    </xf>
    <xf numFmtId="0" fontId="27" fillId="3" borderId="3" xfId="0" applyFont="1" applyFill="1" applyBorder="1" applyAlignment="1">
      <alignment horizontal="left" vertical="center"/>
    </xf>
    <xf numFmtId="49" fontId="27" fillId="3" borderId="3" xfId="0" applyNumberFormat="1" applyFont="1" applyFill="1" applyBorder="1" applyAlignment="1">
      <alignment horizontal="center" vertical="center"/>
    </xf>
    <xf numFmtId="4" fontId="27" fillId="3" borderId="3" xfId="0" applyNumberFormat="1" applyFont="1" applyFill="1" applyBorder="1" applyAlignment="1">
      <alignment vertical="center"/>
    </xf>
    <xf numFmtId="3" fontId="27" fillId="3" borderId="3" xfId="0" applyNumberFormat="1" applyFont="1" applyFill="1" applyBorder="1" applyAlignment="1">
      <alignment vertical="center"/>
    </xf>
    <xf numFmtId="166" fontId="27" fillId="3" borderId="3" xfId="1" applyNumberFormat="1" applyFont="1" applyFill="1" applyBorder="1" applyAlignment="1">
      <alignment vertical="center"/>
    </xf>
    <xf numFmtId="9" fontId="27" fillId="3" borderId="3" xfId="6" applyFont="1" applyFill="1" applyBorder="1" applyAlignment="1">
      <alignment vertical="center"/>
    </xf>
    <xf numFmtId="176" fontId="27" fillId="3" borderId="3" xfId="0" applyNumberFormat="1" applyFont="1" applyFill="1" applyBorder="1" applyAlignment="1">
      <alignment vertical="center"/>
    </xf>
    <xf numFmtId="178" fontId="27" fillId="3" borderId="3" xfId="0" applyNumberFormat="1" applyFont="1" applyFill="1" applyBorder="1" applyAlignment="1">
      <alignment vertical="center"/>
    </xf>
    <xf numFmtId="3" fontId="27" fillId="0" borderId="3" xfId="0" applyNumberFormat="1" applyFont="1" applyBorder="1" applyAlignment="1">
      <alignment vertical="center"/>
    </xf>
    <xf numFmtId="165" fontId="27" fillId="3" borderId="3" xfId="0" applyNumberFormat="1" applyFont="1" applyFill="1" applyBorder="1" applyAlignment="1">
      <alignment vertical="center"/>
    </xf>
    <xf numFmtId="3" fontId="27" fillId="3" borderId="3" xfId="1" applyNumberFormat="1" applyFont="1" applyFill="1" applyBorder="1" applyAlignment="1">
      <alignment horizontal="right" vertical="center"/>
    </xf>
    <xf numFmtId="3" fontId="27" fillId="3" borderId="3" xfId="0" applyNumberFormat="1" applyFont="1" applyFill="1" applyBorder="1" applyAlignment="1">
      <alignment horizontal="right" vertical="center"/>
    </xf>
    <xf numFmtId="0" fontId="79" fillId="0" borderId="0" xfId="4" applyFont="1" applyAlignment="1">
      <alignment vertical="center"/>
    </xf>
    <xf numFmtId="0" fontId="79" fillId="0" borderId="0" xfId="4" applyFont="1" applyBorder="1" applyAlignment="1">
      <alignment vertical="center"/>
    </xf>
    <xf numFmtId="0" fontId="80" fillId="0" borderId="0" xfId="4" applyFont="1" applyBorder="1" applyAlignment="1">
      <alignment horizontal="center" vertical="center" wrapText="1"/>
    </xf>
    <xf numFmtId="0" fontId="81" fillId="0" borderId="1" xfId="4" applyFont="1" applyBorder="1" applyAlignment="1">
      <alignment horizontal="center" vertical="center" wrapText="1"/>
    </xf>
    <xf numFmtId="3" fontId="81" fillId="0" borderId="1" xfId="4" applyNumberFormat="1" applyFont="1" applyBorder="1" applyAlignment="1">
      <alignment horizontal="center" vertical="center" wrapText="1"/>
    </xf>
    <xf numFmtId="0" fontId="82" fillId="0" borderId="0" xfId="4" applyFont="1" applyAlignment="1">
      <alignment horizontal="center" vertical="center" wrapText="1"/>
    </xf>
    <xf numFmtId="0" fontId="79" fillId="0" borderId="1" xfId="4" applyFont="1" applyBorder="1" applyAlignment="1">
      <alignment horizontal="center" vertical="center"/>
    </xf>
    <xf numFmtId="0" fontId="83" fillId="3" borderId="1" xfId="0" applyFont="1" applyFill="1" applyBorder="1" applyAlignment="1">
      <alignment horizontal="left"/>
    </xf>
    <xf numFmtId="0" fontId="83" fillId="3" borderId="1" xfId="0" applyFont="1" applyFill="1" applyBorder="1" applyAlignment="1">
      <alignment horizontal="center"/>
    </xf>
    <xf numFmtId="3" fontId="83" fillId="3" borderId="1" xfId="0" applyNumberFormat="1" applyFont="1" applyFill="1" applyBorder="1" applyAlignment="1">
      <alignment horizontal="center"/>
    </xf>
    <xf numFmtId="0" fontId="79" fillId="3" borderId="1" xfId="0" applyFont="1" applyFill="1" applyBorder="1" applyAlignment="1">
      <alignment horizontal="center"/>
    </xf>
    <xf numFmtId="0" fontId="83" fillId="3" borderId="1" xfId="0" applyFont="1" applyFill="1" applyBorder="1" applyAlignment="1">
      <alignment horizontal="left" vertical="center"/>
    </xf>
    <xf numFmtId="0" fontId="83" fillId="3" borderId="1" xfId="0" applyFont="1" applyFill="1" applyBorder="1" applyAlignment="1">
      <alignment horizontal="center" vertical="center"/>
    </xf>
    <xf numFmtId="0" fontId="79" fillId="0" borderId="0" xfId="4" applyFont="1" applyAlignment="1">
      <alignment horizontal="left" vertical="center"/>
    </xf>
    <xf numFmtId="0" fontId="79" fillId="0" borderId="0" xfId="4" applyFont="1" applyAlignment="1">
      <alignment horizontal="center" vertical="center"/>
    </xf>
    <xf numFmtId="3" fontId="79" fillId="0" borderId="0" xfId="4" applyNumberFormat="1" applyFont="1" applyAlignment="1">
      <alignment horizontal="center" vertical="center"/>
    </xf>
    <xf numFmtId="3" fontId="83" fillId="3" borderId="1" xfId="0" applyNumberFormat="1" applyFont="1" applyFill="1" applyBorder="1" applyAlignment="1">
      <alignment horizontal="right"/>
    </xf>
    <xf numFmtId="0" fontId="80" fillId="0" borderId="0" xfId="4" applyFont="1" applyBorder="1" applyAlignment="1">
      <alignment horizontal="right" vertical="center" wrapText="1"/>
    </xf>
    <xf numFmtId="0" fontId="80" fillId="0" borderId="0" xfId="4" applyFont="1" applyBorder="1" applyAlignment="1">
      <alignment horizontal="center" vertical="center" wrapText="1"/>
    </xf>
    <xf numFmtId="0" fontId="2" fillId="0" borderId="0" xfId="4" applyFont="1" applyFill="1" applyBorder="1" applyAlignment="1">
      <alignment horizontal="center"/>
    </xf>
    <xf numFmtId="0" fontId="5" fillId="0" borderId="14" xfId="4" applyFont="1" applyFill="1" applyBorder="1" applyAlignment="1">
      <alignment horizontal="left" wrapText="1"/>
    </xf>
    <xf numFmtId="0" fontId="59" fillId="0" borderId="0" xfId="4" applyFont="1" applyFill="1" applyBorder="1" applyAlignment="1">
      <alignment horizontal="center" vertical="center"/>
    </xf>
    <xf numFmtId="0" fontId="2" fillId="0" borderId="1" xfId="4" applyFont="1" applyFill="1" applyBorder="1" applyAlignment="1">
      <alignment horizontal="center" vertical="center" wrapText="1"/>
    </xf>
    <xf numFmtId="0" fontId="2" fillId="0" borderId="1" xfId="4" applyFont="1" applyFill="1" applyBorder="1" applyAlignment="1">
      <alignment horizontal="center" vertical="center"/>
    </xf>
    <xf numFmtId="166" fontId="2" fillId="0" borderId="1" xfId="2" applyNumberFormat="1" applyFont="1" applyFill="1" applyBorder="1" applyAlignment="1">
      <alignment horizontal="center" vertical="center"/>
    </xf>
    <xf numFmtId="172" fontId="4" fillId="0" borderId="0" xfId="4" applyNumberFormat="1" applyFont="1" applyFill="1" applyBorder="1" applyAlignment="1">
      <alignment horizontal="center" vertical="center"/>
    </xf>
    <xf numFmtId="0" fontId="2" fillId="0" borderId="0" xfId="4" applyFont="1" applyFill="1" applyBorder="1" applyAlignment="1">
      <alignment horizontal="center" vertical="center"/>
    </xf>
    <xf numFmtId="0" fontId="78" fillId="0" borderId="0" xfId="4" applyFont="1" applyAlignment="1">
      <alignment horizontal="center" vertical="center" wrapText="1"/>
    </xf>
    <xf numFmtId="0" fontId="78" fillId="0" borderId="0" xfId="4" applyFont="1" applyBorder="1" applyAlignment="1">
      <alignment horizontal="center" vertical="center" wrapText="1"/>
    </xf>
    <xf numFmtId="0" fontId="80" fillId="0" borderId="0" xfId="4" applyFont="1" applyBorder="1" applyAlignment="1">
      <alignment horizontal="center" vertical="center" wrapText="1"/>
    </xf>
    <xf numFmtId="173" fontId="19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166" fontId="13" fillId="4" borderId="0" xfId="0" applyNumberFormat="1" applyFont="1" applyFill="1" applyBorder="1" applyAlignment="1">
      <alignment horizontal="right"/>
    </xf>
    <xf numFmtId="166" fontId="13" fillId="0" borderId="0" xfId="0" applyNumberFormat="1" applyFont="1" applyFill="1" applyBorder="1" applyAlignment="1">
      <alignment horizontal="center"/>
    </xf>
    <xf numFmtId="166" fontId="1" fillId="0" borderId="0" xfId="1" applyNumberFormat="1" applyFont="1" applyAlignment="1">
      <alignment horizontal="right"/>
    </xf>
    <xf numFmtId="166" fontId="1" fillId="0" borderId="0" xfId="1" applyNumberFormat="1" applyFont="1" applyAlignment="1">
      <alignment horizontal="center"/>
    </xf>
    <xf numFmtId="166" fontId="4" fillId="0" borderId="0" xfId="0" applyNumberFormat="1" applyFont="1" applyFill="1" applyBorder="1" applyAlignment="1">
      <alignment horizontal="right"/>
    </xf>
    <xf numFmtId="166" fontId="14" fillId="4" borderId="0" xfId="0" applyNumberFormat="1" applyFont="1" applyFill="1" applyBorder="1" applyAlignment="1">
      <alignment horizontal="right"/>
    </xf>
    <xf numFmtId="166" fontId="14" fillId="0" borderId="0" xfId="0" applyNumberFormat="1" applyFont="1" applyFill="1" applyBorder="1" applyAlignment="1">
      <alignment horizontal="center"/>
    </xf>
    <xf numFmtId="3" fontId="4" fillId="0" borderId="0" xfId="0" quotePrefix="1" applyNumberFormat="1" applyFont="1" applyFill="1" applyBorder="1" applyAlignment="1">
      <alignment horizontal="right"/>
    </xf>
    <xf numFmtId="43" fontId="7" fillId="0" borderId="28" xfId="1" applyFont="1" applyFill="1" applyBorder="1" applyAlignment="1">
      <alignment horizontal="center"/>
    </xf>
    <xf numFmtId="43" fontId="7" fillId="0" borderId="29" xfId="1" applyFont="1" applyFill="1" applyBorder="1" applyAlignment="1">
      <alignment horizontal="center"/>
    </xf>
    <xf numFmtId="166" fontId="16" fillId="0" borderId="0" xfId="0" applyNumberFormat="1" applyFont="1" applyFill="1" applyAlignment="1">
      <alignment horizontal="right"/>
    </xf>
    <xf numFmtId="3" fontId="27" fillId="3" borderId="0" xfId="1" applyNumberFormat="1" applyFont="1" applyFill="1" applyAlignment="1"/>
    <xf numFmtId="0" fontId="1" fillId="0" borderId="0" xfId="0" applyFont="1" applyFill="1" applyAlignment="1">
      <alignment horizontal="center"/>
    </xf>
    <xf numFmtId="43" fontId="7" fillId="0" borderId="25" xfId="1" applyFont="1" applyFill="1" applyBorder="1" applyAlignment="1">
      <alignment horizontal="center"/>
    </xf>
    <xf numFmtId="43" fontId="7" fillId="0" borderId="26" xfId="1" applyFont="1" applyFill="1" applyBorder="1" applyAlignment="1">
      <alignment horizontal="center"/>
    </xf>
    <xf numFmtId="166" fontId="14" fillId="0" borderId="0" xfId="0" applyNumberFormat="1" applyFont="1" applyFill="1" applyBorder="1" applyAlignment="1">
      <alignment horizontal="right"/>
    </xf>
    <xf numFmtId="3" fontId="16" fillId="3" borderId="0" xfId="1" applyNumberFormat="1" applyFont="1" applyFill="1" applyAlignment="1"/>
    <xf numFmtId="166" fontId="8" fillId="0" borderId="1" xfId="3" applyNumberFormat="1" applyFont="1" applyFill="1" applyBorder="1" applyAlignment="1">
      <alignment horizontal="center" vertical="center" wrapText="1"/>
    </xf>
    <xf numFmtId="9" fontId="8" fillId="0" borderId="1" xfId="6" applyFont="1" applyFill="1" applyBorder="1" applyAlignment="1">
      <alignment horizontal="center" vertical="center" wrapText="1"/>
    </xf>
    <xf numFmtId="3" fontId="16" fillId="0" borderId="0" xfId="0" applyNumberFormat="1" applyFont="1" applyFill="1" applyAlignment="1">
      <alignment horizontal="right"/>
    </xf>
    <xf numFmtId="0" fontId="7" fillId="0" borderId="30" xfId="0" applyFont="1" applyFill="1" applyBorder="1" applyAlignment="1">
      <alignment horizontal="center"/>
    </xf>
    <xf numFmtId="0" fontId="7" fillId="0" borderId="31" xfId="0" applyFont="1" applyFill="1" applyBorder="1" applyAlignment="1">
      <alignment horizontal="center"/>
    </xf>
    <xf numFmtId="0" fontId="34" fillId="0" borderId="17" xfId="0" applyFont="1" applyFill="1" applyBorder="1" applyAlignment="1">
      <alignment horizontal="center" vertical="center" wrapText="1"/>
    </xf>
    <xf numFmtId="0" fontId="34" fillId="0" borderId="18" xfId="0" applyFont="1" applyFill="1" applyBorder="1" applyAlignment="1">
      <alignment horizontal="center" vertical="center" wrapText="1"/>
    </xf>
    <xf numFmtId="166" fontId="35" fillId="0" borderId="17" xfId="1" applyNumberFormat="1" applyFont="1" applyBorder="1" applyAlignment="1">
      <alignment horizontal="center" vertical="center"/>
    </xf>
    <xf numFmtId="166" fontId="35" fillId="0" borderId="18" xfId="1" applyNumberFormat="1" applyFont="1" applyBorder="1" applyAlignment="1">
      <alignment horizontal="center" vertical="center"/>
    </xf>
    <xf numFmtId="0" fontId="13" fillId="0" borderId="27" xfId="0" applyFont="1" applyFill="1" applyBorder="1" applyAlignment="1">
      <alignment horizontal="center"/>
    </xf>
    <xf numFmtId="3" fontId="14" fillId="4" borderId="0" xfId="0" applyNumberFormat="1" applyFont="1" applyFill="1" applyAlignment="1">
      <alignment horizontal="right"/>
    </xf>
    <xf numFmtId="3" fontId="14" fillId="0" borderId="0" xfId="0" applyNumberFormat="1" applyFont="1" applyFill="1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8" fillId="0" borderId="1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center" vertical="justify"/>
    </xf>
    <xf numFmtId="3" fontId="8" fillId="0" borderId="5" xfId="0" applyNumberFormat="1" applyFont="1" applyFill="1" applyBorder="1" applyAlignment="1">
      <alignment horizontal="center" vertical="center" wrapText="1"/>
    </xf>
    <xf numFmtId="3" fontId="8" fillId="0" borderId="6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66" fontId="8" fillId="0" borderId="1" xfId="1" applyNumberFormat="1" applyFont="1" applyFill="1" applyBorder="1" applyAlignment="1">
      <alignment horizontal="center" vertical="center" wrapText="1"/>
    </xf>
    <xf numFmtId="3" fontId="17" fillId="3" borderId="0" xfId="0" applyNumberFormat="1" applyFont="1" applyFill="1" applyAlignment="1">
      <alignment horizontal="right"/>
    </xf>
    <xf numFmtId="169" fontId="16" fillId="0" borderId="0" xfId="0" applyNumberFormat="1" applyFont="1" applyFill="1" applyAlignment="1">
      <alignment horizontal="right"/>
    </xf>
    <xf numFmtId="2" fontId="8" fillId="0" borderId="1" xfId="0" applyNumberFormat="1" applyFont="1" applyFill="1" applyBorder="1" applyAlignment="1">
      <alignment horizontal="center" vertical="center" wrapText="1"/>
    </xf>
    <xf numFmtId="174" fontId="8" fillId="0" borderId="1" xfId="0" applyNumberFormat="1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3" fontId="8" fillId="0" borderId="16" xfId="0" applyNumberFormat="1" applyFont="1" applyFill="1" applyBorder="1" applyAlignment="1">
      <alignment horizontal="center" vertical="center" wrapText="1"/>
    </xf>
    <xf numFmtId="166" fontId="8" fillId="0" borderId="1" xfId="1" applyNumberFormat="1" applyFont="1" applyFill="1" applyBorder="1" applyAlignment="1">
      <alignment horizontal="center" vertical="center"/>
    </xf>
    <xf numFmtId="3" fontId="8" fillId="0" borderId="1" xfId="0" applyNumberFormat="1" applyFont="1" applyFill="1" applyBorder="1" applyAlignment="1">
      <alignment horizontal="center" vertical="center" wrapText="1"/>
    </xf>
    <xf numFmtId="166" fontId="13" fillId="3" borderId="0" xfId="0" applyNumberFormat="1" applyFont="1" applyFill="1" applyBorder="1" applyAlignment="1">
      <alignment horizontal="right"/>
    </xf>
    <xf numFmtId="166" fontId="13" fillId="0" borderId="0" xfId="0" applyNumberFormat="1" applyFont="1" applyFill="1" applyBorder="1" applyAlignment="1">
      <alignment horizontal="right"/>
    </xf>
    <xf numFmtId="0" fontId="15" fillId="0" borderId="0" xfId="0" applyFont="1" applyFill="1" applyAlignment="1">
      <alignment horizontal="center"/>
    </xf>
    <xf numFmtId="0" fontId="67" fillId="0" borderId="0" xfId="0" applyFont="1" applyAlignment="1">
      <alignment horizontal="center"/>
    </xf>
    <xf numFmtId="0" fontId="35" fillId="0" borderId="5" xfId="0" applyFont="1" applyFill="1" applyBorder="1" applyAlignment="1">
      <alignment horizontal="center" vertical="center"/>
    </xf>
    <xf numFmtId="0" fontId="35" fillId="0" borderId="16" xfId="0" applyFont="1" applyFill="1" applyBorder="1" applyAlignment="1">
      <alignment horizontal="center" vertical="center"/>
    </xf>
    <xf numFmtId="0" fontId="35" fillId="0" borderId="6" xfId="0" applyFont="1" applyFill="1" applyBorder="1" applyAlignment="1">
      <alignment horizontal="center" vertical="center"/>
    </xf>
    <xf numFmtId="0" fontId="35" fillId="0" borderId="19" xfId="0" applyFont="1" applyFill="1" applyBorder="1" applyAlignment="1">
      <alignment horizontal="center" vertical="center"/>
    </xf>
    <xf numFmtId="0" fontId="35" fillId="0" borderId="20" xfId="0" applyFont="1" applyFill="1" applyBorder="1" applyAlignment="1">
      <alignment horizontal="center" vertical="center"/>
    </xf>
    <xf numFmtId="0" fontId="35" fillId="0" borderId="21" xfId="0" applyFont="1" applyFill="1" applyBorder="1" applyAlignment="1">
      <alignment horizontal="center" vertical="center"/>
    </xf>
    <xf numFmtId="0" fontId="35" fillId="0" borderId="22" xfId="0" applyFont="1" applyFill="1" applyBorder="1" applyAlignment="1">
      <alignment horizontal="center" vertical="center"/>
    </xf>
    <xf numFmtId="0" fontId="35" fillId="0" borderId="23" xfId="0" applyFont="1" applyFill="1" applyBorder="1" applyAlignment="1">
      <alignment horizontal="center" vertical="center"/>
    </xf>
    <xf numFmtId="0" fontId="35" fillId="0" borderId="24" xfId="0" applyFont="1" applyFill="1" applyBorder="1" applyAlignment="1">
      <alignment horizontal="center" vertical="center"/>
    </xf>
    <xf numFmtId="0" fontId="27" fillId="0" borderId="19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27" fillId="0" borderId="23" xfId="0" applyFont="1" applyBorder="1" applyAlignment="1">
      <alignment horizontal="center" vertical="center"/>
    </xf>
    <xf numFmtId="0" fontId="27" fillId="0" borderId="24" xfId="0" applyFont="1" applyBorder="1" applyAlignment="1">
      <alignment horizontal="center" vertical="center"/>
    </xf>
    <xf numFmtId="0" fontId="27" fillId="0" borderId="5" xfId="0" applyFont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 wrapText="1"/>
    </xf>
    <xf numFmtId="0" fontId="27" fillId="0" borderId="6" xfId="0" applyFont="1" applyBorder="1" applyAlignment="1">
      <alignment horizontal="center" vertical="center" wrapText="1"/>
    </xf>
    <xf numFmtId="3" fontId="35" fillId="0" borderId="5" xfId="0" applyNumberFormat="1" applyFont="1" applyFill="1" applyBorder="1" applyAlignment="1">
      <alignment horizontal="center" vertical="justify"/>
    </xf>
    <xf numFmtId="3" fontId="35" fillId="0" borderId="16" xfId="0" applyNumberFormat="1" applyFont="1" applyFill="1" applyBorder="1" applyAlignment="1">
      <alignment horizontal="center" vertical="justify"/>
    </xf>
    <xf numFmtId="3" fontId="35" fillId="0" borderId="6" xfId="0" applyNumberFormat="1" applyFont="1" applyFill="1" applyBorder="1" applyAlignment="1">
      <alignment horizontal="center" vertical="justify"/>
    </xf>
    <xf numFmtId="3" fontId="35" fillId="0" borderId="5" xfId="0" applyNumberFormat="1" applyFont="1" applyFill="1" applyBorder="1" applyAlignment="1">
      <alignment horizontal="center" vertical="center" wrapText="1"/>
    </xf>
    <xf numFmtId="3" fontId="35" fillId="0" borderId="6" xfId="0" applyNumberFormat="1" applyFont="1" applyFill="1" applyBorder="1" applyAlignment="1">
      <alignment horizontal="center" vertical="center" wrapText="1"/>
    </xf>
    <xf numFmtId="0" fontId="35" fillId="0" borderId="5" xfId="0" applyFont="1" applyFill="1" applyBorder="1" applyAlignment="1">
      <alignment horizontal="center" vertical="center" wrapText="1"/>
    </xf>
    <xf numFmtId="0" fontId="35" fillId="0" borderId="6" xfId="0" applyFont="1" applyFill="1" applyBorder="1" applyAlignment="1">
      <alignment horizontal="center" vertical="center" wrapText="1"/>
    </xf>
    <xf numFmtId="166" fontId="35" fillId="0" borderId="5" xfId="1" applyNumberFormat="1" applyFont="1" applyFill="1" applyBorder="1" applyAlignment="1">
      <alignment horizontal="center" vertical="center" wrapText="1"/>
    </xf>
    <xf numFmtId="166" fontId="35" fillId="0" borderId="6" xfId="1" applyNumberFormat="1" applyFont="1" applyFill="1" applyBorder="1" applyAlignment="1">
      <alignment horizontal="center" vertical="center" wrapText="1"/>
    </xf>
    <xf numFmtId="166" fontId="35" fillId="0" borderId="17" xfId="3" applyNumberFormat="1" applyFont="1" applyFill="1" applyBorder="1" applyAlignment="1">
      <alignment horizontal="center" vertical="center" wrapText="1"/>
    </xf>
    <xf numFmtId="166" fontId="35" fillId="0" borderId="18" xfId="3" applyNumberFormat="1" applyFont="1" applyFill="1" applyBorder="1" applyAlignment="1">
      <alignment horizontal="center" vertical="center" wrapText="1"/>
    </xf>
    <xf numFmtId="166" fontId="35" fillId="0" borderId="33" xfId="3" applyNumberFormat="1" applyFont="1" applyFill="1" applyBorder="1" applyAlignment="1">
      <alignment horizontal="center" vertical="center" wrapText="1"/>
    </xf>
    <xf numFmtId="9" fontId="35" fillId="0" borderId="17" xfId="6" applyFont="1" applyFill="1" applyBorder="1" applyAlignment="1">
      <alignment horizontal="center" vertical="center" wrapText="1"/>
    </xf>
    <xf numFmtId="9" fontId="35" fillId="0" borderId="33" xfId="6" applyFont="1" applyFill="1" applyBorder="1" applyAlignment="1">
      <alignment horizontal="center" vertical="center" wrapText="1"/>
    </xf>
    <xf numFmtId="9" fontId="35" fillId="0" borderId="18" xfId="6" applyFont="1" applyFill="1" applyBorder="1" applyAlignment="1">
      <alignment horizontal="center" vertical="center" wrapText="1"/>
    </xf>
    <xf numFmtId="2" fontId="35" fillId="0" borderId="17" xfId="0" applyNumberFormat="1" applyFont="1" applyFill="1" applyBorder="1" applyAlignment="1">
      <alignment horizontal="center" vertical="center" wrapText="1"/>
    </xf>
    <xf numFmtId="2" fontId="35" fillId="0" borderId="33" xfId="0" applyNumberFormat="1" applyFont="1" applyFill="1" applyBorder="1" applyAlignment="1">
      <alignment horizontal="center" vertical="center" wrapText="1"/>
    </xf>
    <xf numFmtId="2" fontId="35" fillId="0" borderId="18" xfId="0" applyNumberFormat="1" applyFont="1" applyFill="1" applyBorder="1" applyAlignment="1">
      <alignment horizontal="center" vertical="center" wrapText="1"/>
    </xf>
    <xf numFmtId="166" fontId="35" fillId="0" borderId="16" xfId="1" applyNumberFormat="1" applyFont="1" applyFill="1" applyBorder="1" applyAlignment="1">
      <alignment horizontal="center" vertical="center" wrapText="1"/>
    </xf>
    <xf numFmtId="166" fontId="35" fillId="0" borderId="17" xfId="1" applyNumberFormat="1" applyFont="1" applyFill="1" applyBorder="1" applyAlignment="1">
      <alignment horizontal="center" vertical="center"/>
    </xf>
    <xf numFmtId="166" fontId="35" fillId="0" borderId="33" xfId="1" applyNumberFormat="1" applyFont="1" applyFill="1" applyBorder="1" applyAlignment="1">
      <alignment horizontal="center" vertical="center"/>
    </xf>
    <xf numFmtId="166" fontId="35" fillId="0" borderId="18" xfId="1" applyNumberFormat="1" applyFont="1" applyFill="1" applyBorder="1" applyAlignment="1">
      <alignment horizontal="center" vertical="center"/>
    </xf>
    <xf numFmtId="174" fontId="35" fillId="0" borderId="5" xfId="0" applyNumberFormat="1" applyFont="1" applyFill="1" applyBorder="1" applyAlignment="1">
      <alignment horizontal="center" vertical="center" wrapText="1"/>
    </xf>
    <xf numFmtId="174" fontId="35" fillId="0" borderId="6" xfId="0" applyNumberFormat="1" applyFont="1" applyFill="1" applyBorder="1" applyAlignment="1">
      <alignment horizontal="center" vertical="center" wrapText="1"/>
    </xf>
    <xf numFmtId="3" fontId="13" fillId="0" borderId="0" xfId="0" applyNumberFormat="1" applyFont="1" applyFill="1" applyAlignment="1">
      <alignment horizontal="right"/>
    </xf>
    <xf numFmtId="3" fontId="35" fillId="0" borderId="16" xfId="0" applyNumberFormat="1" applyFont="1" applyFill="1" applyBorder="1" applyAlignment="1">
      <alignment horizontal="center" vertical="center" wrapText="1"/>
    </xf>
    <xf numFmtId="0" fontId="35" fillId="0" borderId="17" xfId="0" applyFont="1" applyFill="1" applyBorder="1" applyAlignment="1">
      <alignment horizontal="center" vertical="center"/>
    </xf>
    <xf numFmtId="0" fontId="35" fillId="0" borderId="33" xfId="0" applyFont="1" applyFill="1" applyBorder="1" applyAlignment="1">
      <alignment horizontal="center" vertical="center"/>
    </xf>
    <xf numFmtId="0" fontId="35" fillId="0" borderId="18" xfId="0" applyFont="1" applyFill="1" applyBorder="1" applyAlignment="1">
      <alignment horizontal="center" vertical="center"/>
    </xf>
    <xf numFmtId="0" fontId="27" fillId="0" borderId="17" xfId="0" applyFont="1" applyFill="1" applyBorder="1" applyAlignment="1">
      <alignment horizontal="center" vertical="center" wrapText="1"/>
    </xf>
    <xf numFmtId="0" fontId="27" fillId="0" borderId="18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3" fontId="1" fillId="0" borderId="0" xfId="0" applyNumberFormat="1" applyFont="1" applyFill="1" applyAlignment="1">
      <alignment horizontal="right"/>
    </xf>
    <xf numFmtId="171" fontId="1" fillId="0" borderId="0" xfId="1" applyNumberFormat="1" applyFont="1" applyFill="1" applyAlignment="1"/>
    <xf numFmtId="43" fontId="1" fillId="0" borderId="25" xfId="1" applyFont="1" applyFill="1" applyBorder="1" applyAlignment="1">
      <alignment horizontal="center"/>
    </xf>
    <xf numFmtId="43" fontId="1" fillId="0" borderId="26" xfId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43" fontId="1" fillId="0" borderId="28" xfId="1" applyFont="1" applyFill="1" applyBorder="1" applyAlignment="1">
      <alignment horizontal="center"/>
    </xf>
    <xf numFmtId="43" fontId="1" fillId="0" borderId="29" xfId="1" applyFont="1" applyFill="1" applyBorder="1" applyAlignment="1">
      <alignment horizontal="center"/>
    </xf>
    <xf numFmtId="166" fontId="1" fillId="0" borderId="0" xfId="0" applyNumberFormat="1" applyFont="1" applyFill="1" applyAlignment="1">
      <alignment horizontal="right"/>
    </xf>
    <xf numFmtId="0" fontId="37" fillId="0" borderId="0" xfId="0" applyFont="1" applyAlignment="1">
      <alignment horizontal="center"/>
    </xf>
    <xf numFmtId="166" fontId="4" fillId="0" borderId="0" xfId="0" applyNumberFormat="1" applyFont="1" applyFill="1" applyAlignment="1">
      <alignment horizontal="right"/>
    </xf>
    <xf numFmtId="0" fontId="35" fillId="0" borderId="1" xfId="0" applyFont="1" applyBorder="1" applyAlignment="1">
      <alignment horizontal="center" vertical="center"/>
    </xf>
    <xf numFmtId="173" fontId="75" fillId="0" borderId="0" xfId="0" applyNumberFormat="1" applyFont="1" applyAlignment="1">
      <alignment horizontal="center"/>
    </xf>
    <xf numFmtId="3" fontId="4" fillId="0" borderId="0" xfId="0" quotePrefix="1" applyNumberFormat="1" applyFont="1" applyFill="1" applyAlignment="1">
      <alignment horizontal="right"/>
    </xf>
    <xf numFmtId="3" fontId="2" fillId="0" borderId="0" xfId="0" applyNumberFormat="1" applyFont="1" applyFill="1" applyAlignment="1">
      <alignment horizontal="right"/>
    </xf>
    <xf numFmtId="169" fontId="1" fillId="0" borderId="0" xfId="0" applyNumberFormat="1" applyFont="1" applyFill="1" applyAlignment="1">
      <alignment horizontal="right"/>
    </xf>
    <xf numFmtId="3" fontId="2" fillId="0" borderId="23" xfId="0" applyNumberFormat="1" applyFont="1" applyBorder="1" applyAlignment="1">
      <alignment horizontal="center"/>
    </xf>
    <xf numFmtId="3" fontId="2" fillId="0" borderId="24" xfId="0" applyNumberFormat="1" applyFont="1" applyBorder="1" applyAlignment="1">
      <alignment horizontal="center"/>
    </xf>
    <xf numFmtId="0" fontId="44" fillId="0" borderId="0" xfId="0" applyFont="1" applyAlignment="1">
      <alignment horizontal="left"/>
    </xf>
    <xf numFmtId="166" fontId="44" fillId="0" borderId="0" xfId="1" applyNumberFormat="1" applyFont="1" applyAlignment="1">
      <alignment horizontal="center"/>
    </xf>
    <xf numFmtId="0" fontId="76" fillId="0" borderId="0" xfId="0" applyFont="1" applyAlignment="1">
      <alignment horizontal="left"/>
    </xf>
    <xf numFmtId="166" fontId="76" fillId="0" borderId="0" xfId="0" applyNumberFormat="1" applyFont="1" applyAlignment="1">
      <alignment horizontal="center"/>
    </xf>
    <xf numFmtId="0" fontId="46" fillId="0" borderId="0" xfId="0" applyFont="1" applyAlignment="1">
      <alignment horizontal="center"/>
    </xf>
    <xf numFmtId="166" fontId="46" fillId="0" borderId="0" xfId="0" applyNumberFormat="1" applyFont="1" applyAlignment="1">
      <alignment horizontal="center"/>
    </xf>
    <xf numFmtId="166" fontId="46" fillId="0" borderId="0" xfId="1" applyNumberFormat="1" applyFont="1" applyBorder="1" applyAlignment="1">
      <alignment horizontal="left"/>
    </xf>
    <xf numFmtId="0" fontId="44" fillId="0" borderId="0" xfId="0" applyFont="1" applyAlignment="1">
      <alignment horizontal="center"/>
    </xf>
    <xf numFmtId="3" fontId="12" fillId="0" borderId="5" xfId="0" applyNumberFormat="1" applyFont="1" applyBorder="1" applyAlignment="1">
      <alignment horizontal="center" vertical="center" wrapText="1"/>
    </xf>
    <xf numFmtId="3" fontId="12" fillId="0" borderId="16" xfId="0" applyNumberFormat="1" applyFont="1" applyBorder="1" applyAlignment="1">
      <alignment horizontal="center" vertical="center" wrapText="1"/>
    </xf>
    <xf numFmtId="3" fontId="12" fillId="0" borderId="6" xfId="0" applyNumberFormat="1" applyFont="1" applyBorder="1" applyAlignment="1">
      <alignment horizontal="center" vertical="center" wrapText="1"/>
    </xf>
    <xf numFmtId="3" fontId="12" fillId="0" borderId="1" xfId="0" applyNumberFormat="1" applyFont="1" applyBorder="1" applyAlignment="1">
      <alignment horizontal="center" vertical="center" wrapText="1"/>
    </xf>
    <xf numFmtId="3" fontId="12" fillId="0" borderId="1" xfId="0" applyNumberFormat="1" applyFont="1" applyBorder="1" applyAlignment="1">
      <alignment horizontal="center" vertical="center"/>
    </xf>
    <xf numFmtId="3" fontId="23" fillId="0" borderId="1" xfId="0" applyNumberFormat="1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166" fontId="23" fillId="0" borderId="1" xfId="1" applyNumberFormat="1" applyFont="1" applyFill="1" applyBorder="1" applyAlignment="1">
      <alignment horizontal="center" vertical="center" wrapText="1"/>
    </xf>
    <xf numFmtId="4" fontId="12" fillId="0" borderId="1" xfId="0" applyNumberFormat="1" applyFont="1" applyBorder="1" applyAlignment="1">
      <alignment horizontal="center" vertical="center" wrapText="1"/>
    </xf>
    <xf numFmtId="4" fontId="12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12" fillId="0" borderId="19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/>
    </xf>
    <xf numFmtId="0" fontId="2" fillId="0" borderId="0" xfId="4" applyFont="1" applyAlignment="1">
      <alignment horizontal="center"/>
    </xf>
    <xf numFmtId="166" fontId="2" fillId="0" borderId="0" xfId="2" applyNumberFormat="1" applyFont="1" applyAlignment="1">
      <alignment horizontal="center"/>
    </xf>
    <xf numFmtId="0" fontId="4" fillId="0" borderId="0" xfId="4" applyFont="1" applyAlignment="1">
      <alignment horizontal="center"/>
    </xf>
    <xf numFmtId="0" fontId="5" fillId="0" borderId="14" xfId="4" applyFont="1" applyBorder="1" applyAlignment="1">
      <alignment horizontal="left" vertical="center" wrapText="1"/>
    </xf>
    <xf numFmtId="0" fontId="2" fillId="3" borderId="0" xfId="4" applyFont="1" applyFill="1" applyBorder="1" applyAlignment="1">
      <alignment horizontal="left" vertical="center" wrapText="1"/>
    </xf>
    <xf numFmtId="0" fontId="1" fillId="3" borderId="0" xfId="4" applyFont="1" applyFill="1" applyBorder="1" applyAlignment="1">
      <alignment horizontal="left" vertical="center" wrapText="1"/>
    </xf>
    <xf numFmtId="172" fontId="4" fillId="0" borderId="0" xfId="4" applyNumberFormat="1" applyFont="1" applyBorder="1" applyAlignment="1">
      <alignment horizontal="center" vertical="center" wrapText="1"/>
    </xf>
    <xf numFmtId="0" fontId="4" fillId="0" borderId="15" xfId="4" applyFont="1" applyBorder="1" applyAlignment="1">
      <alignment horizontal="center"/>
    </xf>
    <xf numFmtId="0" fontId="8" fillId="0" borderId="1" xfId="4" applyFont="1" applyBorder="1" applyAlignment="1">
      <alignment horizontal="center" vertical="center" wrapText="1"/>
    </xf>
    <xf numFmtId="0" fontId="8" fillId="0" borderId="1" xfId="4" applyFont="1" applyBorder="1" applyAlignment="1">
      <alignment horizontal="center" vertical="center"/>
    </xf>
    <xf numFmtId="166" fontId="8" fillId="0" borderId="1" xfId="2" applyNumberFormat="1" applyFont="1" applyBorder="1" applyAlignment="1">
      <alignment horizontal="center" vertical="center"/>
    </xf>
    <xf numFmtId="0" fontId="8" fillId="0" borderId="1" xfId="4" applyFont="1" applyBorder="1" applyAlignment="1">
      <alignment horizontal="center"/>
    </xf>
    <xf numFmtId="0" fontId="11" fillId="0" borderId="0" xfId="4" applyFont="1" applyAlignment="1">
      <alignment horizontal="center"/>
    </xf>
    <xf numFmtId="0" fontId="51" fillId="0" borderId="0" xfId="4" applyFont="1" applyAlignment="1">
      <alignment horizontal="left"/>
    </xf>
    <xf numFmtId="0" fontId="60" fillId="0" borderId="0" xfId="4" applyFont="1" applyAlignment="1">
      <alignment horizontal="left"/>
    </xf>
    <xf numFmtId="0" fontId="53" fillId="0" borderId="0" xfId="4" applyFont="1" applyAlignment="1">
      <alignment horizontal="center" vertical="center"/>
    </xf>
    <xf numFmtId="0" fontId="61" fillId="0" borderId="0" xfId="4" applyFont="1" applyAlignment="1">
      <alignment horizontal="center" vertical="center"/>
    </xf>
  </cellXfs>
  <cellStyles count="7">
    <cellStyle name="Comma" xfId="1" builtinId="3"/>
    <cellStyle name="Comma 2" xfId="2"/>
    <cellStyle name="Comma 2 2" xfId="3"/>
    <cellStyle name="Normal" xfId="0" builtinId="0"/>
    <cellStyle name="Normal 2" xfId="4"/>
    <cellStyle name="Normal 3" xfId="5"/>
    <cellStyle name="Percent" xfId="6" builtinId="5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0"/>
  <sheetViews>
    <sheetView workbookViewId="0">
      <selection activeCell="B16" sqref="B16"/>
    </sheetView>
  </sheetViews>
  <sheetFormatPr defaultRowHeight="15" x14ac:dyDescent="0.25"/>
  <cols>
    <col min="1" max="1" width="5.85546875" style="174" customWidth="1"/>
    <col min="2" max="2" width="20.5703125" style="174" customWidth="1"/>
    <col min="3" max="3" width="20.140625" style="174" hidden="1" customWidth="1"/>
    <col min="4" max="4" width="18.7109375" style="175" hidden="1" customWidth="1"/>
    <col min="5" max="5" width="14.42578125" style="174" customWidth="1"/>
    <col min="6" max="6" width="21.7109375" style="174" customWidth="1"/>
    <col min="7" max="7" width="13.28515625" style="176" customWidth="1"/>
    <col min="8" max="8" width="35.140625" style="174" customWidth="1"/>
    <col min="9" max="9" width="10" style="174" bestFit="1" customWidth="1"/>
    <col min="10" max="10" width="10.5703125" style="174" bestFit="1" customWidth="1"/>
    <col min="11" max="16384" width="9.140625" style="174"/>
  </cols>
  <sheetData>
    <row r="1" spans="1:10" x14ac:dyDescent="0.25">
      <c r="A1" s="174" t="s">
        <v>158</v>
      </c>
    </row>
    <row r="2" spans="1:10" x14ac:dyDescent="0.25">
      <c r="A2" s="174" t="s">
        <v>159</v>
      </c>
    </row>
    <row r="3" spans="1:10" x14ac:dyDescent="0.25">
      <c r="A3" s="588"/>
      <c r="B3" s="588"/>
      <c r="C3" s="588"/>
      <c r="D3" s="588"/>
      <c r="E3" s="588"/>
      <c r="F3" s="588"/>
      <c r="G3" s="588"/>
    </row>
    <row r="4" spans="1:10" x14ac:dyDescent="0.25">
      <c r="A4" s="586" t="s">
        <v>160</v>
      </c>
      <c r="B4" s="586"/>
      <c r="C4" s="586"/>
      <c r="D4" s="586"/>
      <c r="E4" s="586"/>
      <c r="F4" s="586"/>
      <c r="G4" s="586"/>
      <c r="H4" s="586"/>
    </row>
    <row r="5" spans="1:10" x14ac:dyDescent="0.25">
      <c r="A5" s="586" t="s">
        <v>293</v>
      </c>
      <c r="B5" s="586"/>
      <c r="C5" s="586"/>
      <c r="D5" s="586"/>
      <c r="E5" s="586"/>
      <c r="F5" s="586"/>
      <c r="G5" s="586"/>
      <c r="H5" s="586"/>
    </row>
    <row r="6" spans="1:10" x14ac:dyDescent="0.25">
      <c r="A6" s="177"/>
      <c r="B6" s="177"/>
      <c r="C6" s="177"/>
      <c r="D6" s="178"/>
      <c r="E6" s="177"/>
      <c r="F6" s="177"/>
      <c r="G6" s="179"/>
    </row>
    <row r="7" spans="1:10" s="180" customFormat="1" ht="14.25" customHeight="1" x14ac:dyDescent="0.2">
      <c r="A7" s="589" t="s">
        <v>6</v>
      </c>
      <c r="B7" s="589" t="s">
        <v>7</v>
      </c>
      <c r="C7" s="191"/>
      <c r="D7" s="192"/>
      <c r="E7" s="590" t="s">
        <v>161</v>
      </c>
      <c r="F7" s="590"/>
      <c r="G7" s="591" t="s">
        <v>162</v>
      </c>
      <c r="H7" s="589" t="s">
        <v>116</v>
      </c>
    </row>
    <row r="8" spans="1:10" s="180" customFormat="1" ht="127.5" customHeight="1" x14ac:dyDescent="0.2">
      <c r="A8" s="589"/>
      <c r="B8" s="589"/>
      <c r="C8" s="190" t="s">
        <v>90</v>
      </c>
      <c r="D8" s="190" t="s">
        <v>163</v>
      </c>
      <c r="E8" s="190" t="s">
        <v>164</v>
      </c>
      <c r="F8" s="190" t="s">
        <v>165</v>
      </c>
      <c r="G8" s="591"/>
      <c r="H8" s="589"/>
    </row>
    <row r="9" spans="1:10" s="181" customFormat="1" ht="21.95" customHeight="1" x14ac:dyDescent="0.25">
      <c r="A9" s="191">
        <v>1</v>
      </c>
      <c r="B9" s="191">
        <v>2</v>
      </c>
      <c r="C9" s="191" t="s">
        <v>103</v>
      </c>
      <c r="D9" s="191" t="s">
        <v>104</v>
      </c>
      <c r="E9" s="191">
        <v>3</v>
      </c>
      <c r="F9" s="191"/>
      <c r="G9" s="193">
        <v>4</v>
      </c>
      <c r="H9" s="194">
        <v>5</v>
      </c>
    </row>
    <row r="10" spans="1:10" s="181" customFormat="1" ht="21.95" customHeight="1" x14ac:dyDescent="0.25">
      <c r="A10" s="191"/>
      <c r="B10" s="191" t="s">
        <v>162</v>
      </c>
      <c r="C10" s="191"/>
      <c r="D10" s="191"/>
      <c r="E10" s="191"/>
      <c r="F10" s="191"/>
      <c r="G10" s="272" t="e">
        <f>G11+G50+G53</f>
        <v>#REF!</v>
      </c>
      <c r="H10" s="213"/>
      <c r="J10" s="182"/>
    </row>
    <row r="11" spans="1:10" s="181" customFormat="1" ht="21.75" customHeight="1" x14ac:dyDescent="0.25">
      <c r="A11" s="191" t="s">
        <v>166</v>
      </c>
      <c r="B11" s="196" t="s">
        <v>167</v>
      </c>
      <c r="C11" s="191"/>
      <c r="D11" s="191"/>
      <c r="E11" s="191"/>
      <c r="F11" s="191"/>
      <c r="G11" s="273" t="e">
        <f>SUM(G12:G43)</f>
        <v>#REF!</v>
      </c>
      <c r="H11" s="213"/>
    </row>
    <row r="12" spans="1:10" ht="24.75" hidden="1" customHeight="1" x14ac:dyDescent="0.25">
      <c r="A12" s="253">
        <f>IF(B12&lt;&gt;"",COUNTA($B$12:B12),"")</f>
        <v>1</v>
      </c>
      <c r="B12" s="198" t="s">
        <v>19</v>
      </c>
      <c r="C12" s="197" t="s">
        <v>20</v>
      </c>
      <c r="D12" s="199">
        <v>290052641</v>
      </c>
      <c r="E12" s="276">
        <v>5700215006419</v>
      </c>
      <c r="F12" s="195" t="s">
        <v>168</v>
      </c>
      <c r="G12" s="200" t="e">
        <f>SUMIF('DS SV CT'!#REF!,NH!$E$12:$E$57,'DS SV CT'!#REF!)</f>
        <v>#REF!</v>
      </c>
      <c r="H12" s="214" t="s">
        <v>288</v>
      </c>
    </row>
    <row r="13" spans="1:10" ht="21.95" customHeight="1" x14ac:dyDescent="0.25">
      <c r="A13" s="253">
        <v>1</v>
      </c>
      <c r="B13" s="198" t="s">
        <v>23</v>
      </c>
      <c r="C13" s="197" t="s">
        <v>24</v>
      </c>
      <c r="D13" s="201" t="s">
        <v>169</v>
      </c>
      <c r="E13" s="276">
        <v>5700205047714</v>
      </c>
      <c r="F13" s="195" t="s">
        <v>168</v>
      </c>
      <c r="G13" s="200" t="e">
        <f>SUMIF('DS SV CT'!#REF!,NH!$E$12:$E$57,'DS SV CT'!#REF!)</f>
        <v>#REF!</v>
      </c>
      <c r="H13" s="214" t="s">
        <v>343</v>
      </c>
    </row>
    <row r="14" spans="1:10" ht="21.95" customHeight="1" x14ac:dyDescent="0.25">
      <c r="A14" s="253">
        <v>2</v>
      </c>
      <c r="B14" s="198" t="s">
        <v>26</v>
      </c>
      <c r="C14" s="197" t="s">
        <v>24</v>
      </c>
      <c r="D14" s="199">
        <v>290422597</v>
      </c>
      <c r="E14" s="276">
        <v>5700215015540</v>
      </c>
      <c r="F14" s="195" t="s">
        <v>168</v>
      </c>
      <c r="G14" s="200" t="e">
        <f>SUMIF('DS SV CT'!#REF!,NH!$E$12:$E$57,'DS SV CT'!#REF!)</f>
        <v>#REF!</v>
      </c>
      <c r="H14" s="214" t="s">
        <v>343</v>
      </c>
    </row>
    <row r="15" spans="1:10" ht="21.95" customHeight="1" x14ac:dyDescent="0.25">
      <c r="A15" s="253">
        <v>3</v>
      </c>
      <c r="B15" s="198" t="s">
        <v>27</v>
      </c>
      <c r="C15" s="197" t="s">
        <v>24</v>
      </c>
      <c r="D15" s="199">
        <v>290422597</v>
      </c>
      <c r="E15" s="276">
        <v>5700205728799</v>
      </c>
      <c r="F15" s="195" t="s">
        <v>168</v>
      </c>
      <c r="G15" s="200" t="e">
        <f>SUMIF('DS SV CT'!#REF!,NH!$E$12:$E$57,'DS SV CT'!#REF!)</f>
        <v>#REF!</v>
      </c>
      <c r="H15" s="214" t="s">
        <v>343</v>
      </c>
    </row>
    <row r="16" spans="1:10" ht="21.95" customHeight="1" x14ac:dyDescent="0.25">
      <c r="A16" s="253">
        <v>4</v>
      </c>
      <c r="B16" s="198" t="s">
        <v>28</v>
      </c>
      <c r="C16" s="197" t="s">
        <v>170</v>
      </c>
      <c r="D16" s="199">
        <v>290361913</v>
      </c>
      <c r="E16" s="276">
        <v>5700205029679</v>
      </c>
      <c r="F16" s="195" t="s">
        <v>168</v>
      </c>
      <c r="G16" s="200" t="e">
        <f>SUMIF('DS SV CT'!#REF!,NH!$E$12:$E$57,'DS SV CT'!#REF!)</f>
        <v>#REF!</v>
      </c>
      <c r="H16" s="214" t="s">
        <v>343</v>
      </c>
    </row>
    <row r="17" spans="1:8" ht="21.95" customHeight="1" x14ac:dyDescent="0.25">
      <c r="A17" s="253">
        <v>5</v>
      </c>
      <c r="B17" s="198" t="s">
        <v>31</v>
      </c>
      <c r="C17" s="197" t="s">
        <v>171</v>
      </c>
      <c r="D17" s="199">
        <v>290372799</v>
      </c>
      <c r="E17" s="276">
        <v>5700205047772</v>
      </c>
      <c r="F17" s="195" t="s">
        <v>168</v>
      </c>
      <c r="G17" s="200" t="e">
        <f>SUMIF('DS SV CT'!#REF!,NH!$E$12:$E$57,'DS SV CT'!#REF!)</f>
        <v>#REF!</v>
      </c>
      <c r="H17" s="214" t="s">
        <v>343</v>
      </c>
    </row>
    <row r="18" spans="1:8" ht="21.95" customHeight="1" x14ac:dyDescent="0.25">
      <c r="A18" s="253">
        <v>6</v>
      </c>
      <c r="B18" s="198" t="s">
        <v>33</v>
      </c>
      <c r="C18" s="197" t="s">
        <v>34</v>
      </c>
      <c r="D18" s="199">
        <v>290386798</v>
      </c>
      <c r="E18" s="276">
        <v>5700205047795</v>
      </c>
      <c r="F18" s="195" t="s">
        <v>168</v>
      </c>
      <c r="G18" s="200" t="e">
        <f>SUMIF('DS SV CT'!#REF!,NH!$E$12:$E$57,'DS SV CT'!#REF!)</f>
        <v>#REF!</v>
      </c>
      <c r="H18" s="214" t="s">
        <v>343</v>
      </c>
    </row>
    <row r="19" spans="1:8" ht="21.95" customHeight="1" x14ac:dyDescent="0.25">
      <c r="A19" s="253">
        <v>7</v>
      </c>
      <c r="B19" s="198" t="s">
        <v>37</v>
      </c>
      <c r="C19" s="197" t="s">
        <v>38</v>
      </c>
      <c r="D19" s="199">
        <v>290643487</v>
      </c>
      <c r="E19" s="276">
        <v>5700205047822</v>
      </c>
      <c r="F19" s="195" t="s">
        <v>168</v>
      </c>
      <c r="G19" s="200" t="e">
        <f>SUMIF('DS SV CT'!#REF!,NH!$E$12:$E$57,'DS SV CT'!#REF!)</f>
        <v>#REF!</v>
      </c>
      <c r="H19" s="214" t="s">
        <v>343</v>
      </c>
    </row>
    <row r="20" spans="1:8" ht="21.95" customHeight="1" x14ac:dyDescent="0.25">
      <c r="A20" s="253">
        <v>8</v>
      </c>
      <c r="B20" s="198" t="s">
        <v>41</v>
      </c>
      <c r="C20" s="197" t="s">
        <v>172</v>
      </c>
      <c r="D20" s="199">
        <v>290395907</v>
      </c>
      <c r="E20" s="276">
        <v>5700205047839</v>
      </c>
      <c r="F20" s="195" t="s">
        <v>168</v>
      </c>
      <c r="G20" s="200" t="e">
        <f>SUMIF('DS SV CT'!#REF!,NH!$E$12:$E$57,'DS SV CT'!#REF!)</f>
        <v>#REF!</v>
      </c>
      <c r="H20" s="214" t="s">
        <v>343</v>
      </c>
    </row>
    <row r="21" spans="1:8" ht="21.95" customHeight="1" x14ac:dyDescent="0.25">
      <c r="A21" s="253">
        <v>9</v>
      </c>
      <c r="B21" s="198" t="s">
        <v>45</v>
      </c>
      <c r="C21" s="197" t="s">
        <v>46</v>
      </c>
      <c r="D21" s="199">
        <v>290337674</v>
      </c>
      <c r="E21" s="276">
        <v>5700205047874</v>
      </c>
      <c r="F21" s="195" t="s">
        <v>168</v>
      </c>
      <c r="G21" s="200" t="e">
        <f>SUMIF('DS SV CT'!#REF!,NH!$E$12:$E$57,'DS SV CT'!#REF!)</f>
        <v>#REF!</v>
      </c>
      <c r="H21" s="214" t="s">
        <v>343</v>
      </c>
    </row>
    <row r="22" spans="1:8" ht="21.95" customHeight="1" x14ac:dyDescent="0.25">
      <c r="A22" s="253">
        <v>10</v>
      </c>
      <c r="B22" s="198" t="s">
        <v>47</v>
      </c>
      <c r="C22" s="197" t="s">
        <v>172</v>
      </c>
      <c r="D22" s="202" t="s">
        <v>173</v>
      </c>
      <c r="E22" s="277">
        <v>5700205732688</v>
      </c>
      <c r="F22" s="195" t="s">
        <v>168</v>
      </c>
      <c r="G22" s="200" t="e">
        <f>SUMIF('DS SV CT'!#REF!,NH!$E$12:$E$57,'DS SV CT'!#REF!)</f>
        <v>#REF!</v>
      </c>
      <c r="H22" s="214" t="s">
        <v>343</v>
      </c>
    </row>
    <row r="23" spans="1:8" ht="21.95" customHeight="1" x14ac:dyDescent="0.25">
      <c r="A23" s="253">
        <v>11</v>
      </c>
      <c r="B23" s="198" t="s">
        <v>48</v>
      </c>
      <c r="C23" s="197" t="s">
        <v>174</v>
      </c>
      <c r="D23" s="199">
        <v>290471809</v>
      </c>
      <c r="E23" s="276">
        <v>5700205047918</v>
      </c>
      <c r="F23" s="195" t="s">
        <v>168</v>
      </c>
      <c r="G23" s="200" t="e">
        <f>SUMIF('DS SV CT'!#REF!,NH!$E$12:$E$57,'DS SV CT'!#REF!)</f>
        <v>#REF!</v>
      </c>
      <c r="H23" s="214" t="s">
        <v>343</v>
      </c>
    </row>
    <row r="24" spans="1:8" ht="21.95" customHeight="1" x14ac:dyDescent="0.25">
      <c r="A24" s="253">
        <v>12</v>
      </c>
      <c r="B24" s="198" t="s">
        <v>50</v>
      </c>
      <c r="C24" s="197" t="s">
        <v>46</v>
      </c>
      <c r="D24" s="199">
        <v>290544254</v>
      </c>
      <c r="E24" s="276">
        <v>5700205047924</v>
      </c>
      <c r="F24" s="195" t="s">
        <v>168</v>
      </c>
      <c r="G24" s="200" t="e">
        <f>SUMIF('DS SV CT'!#REF!,NH!$E$12:$E$57,'DS SV CT'!#REF!)</f>
        <v>#REF!</v>
      </c>
      <c r="H24" s="214" t="s">
        <v>343</v>
      </c>
    </row>
    <row r="25" spans="1:8" ht="21.95" customHeight="1" x14ac:dyDescent="0.25">
      <c r="A25" s="253">
        <v>13</v>
      </c>
      <c r="B25" s="198" t="s">
        <v>52</v>
      </c>
      <c r="C25" s="197" t="s">
        <v>46</v>
      </c>
      <c r="D25" s="199">
        <v>291167586</v>
      </c>
      <c r="E25" s="276">
        <v>5700215008262</v>
      </c>
      <c r="F25" s="195" t="s">
        <v>168</v>
      </c>
      <c r="G25" s="200" t="e">
        <f>SUMIF('DS SV CT'!#REF!,NH!$E$12:$E$57,'DS SV CT'!#REF!)</f>
        <v>#REF!</v>
      </c>
      <c r="H25" s="214" t="s">
        <v>343</v>
      </c>
    </row>
    <row r="26" spans="1:8" ht="21.95" customHeight="1" x14ac:dyDescent="0.25">
      <c r="A26" s="253">
        <v>14</v>
      </c>
      <c r="B26" s="198" t="s">
        <v>54</v>
      </c>
      <c r="C26" s="197" t="s">
        <v>46</v>
      </c>
      <c r="D26" s="202" t="s">
        <v>175</v>
      </c>
      <c r="E26" s="276">
        <v>5700215016044</v>
      </c>
      <c r="F26" s="195" t="s">
        <v>168</v>
      </c>
      <c r="G26" s="200" t="e">
        <f>SUMIF('DS SV CT'!#REF!,NH!$E$12:$E$57,'DS SV CT'!#REF!)</f>
        <v>#REF!</v>
      </c>
      <c r="H26" s="214" t="s">
        <v>343</v>
      </c>
    </row>
    <row r="27" spans="1:8" ht="21.95" customHeight="1" x14ac:dyDescent="0.25">
      <c r="A27" s="253">
        <v>15</v>
      </c>
      <c r="B27" s="198" t="s">
        <v>55</v>
      </c>
      <c r="C27" s="197" t="s">
        <v>46</v>
      </c>
      <c r="D27" s="199">
        <v>290772967</v>
      </c>
      <c r="E27" s="276">
        <v>5700205043010</v>
      </c>
      <c r="F27" s="195" t="s">
        <v>168</v>
      </c>
      <c r="G27" s="200" t="e">
        <f>SUMIF('DS SV CT'!#REF!,NH!$E$12:$E$57,'DS SV CT'!#REF!)</f>
        <v>#REF!</v>
      </c>
      <c r="H27" s="214" t="s">
        <v>343</v>
      </c>
    </row>
    <row r="28" spans="1:8" ht="21.95" customHeight="1" x14ac:dyDescent="0.25">
      <c r="A28" s="253">
        <v>16</v>
      </c>
      <c r="B28" s="198" t="s">
        <v>57</v>
      </c>
      <c r="C28" s="197" t="s">
        <v>176</v>
      </c>
      <c r="D28" s="202" t="s">
        <v>177</v>
      </c>
      <c r="E28" s="276">
        <v>5700205047816</v>
      </c>
      <c r="F28" s="195" t="s">
        <v>168</v>
      </c>
      <c r="G28" s="200" t="e">
        <f>SUMIF('DS SV CT'!#REF!,NH!$E$12:$E$57,'DS SV CT'!#REF!)</f>
        <v>#REF!</v>
      </c>
      <c r="H28" s="214" t="s">
        <v>343</v>
      </c>
    </row>
    <row r="29" spans="1:8" ht="21.95" customHeight="1" x14ac:dyDescent="0.25">
      <c r="A29" s="253">
        <v>17</v>
      </c>
      <c r="B29" s="198" t="s">
        <v>59</v>
      </c>
      <c r="C29" s="197" t="s">
        <v>46</v>
      </c>
      <c r="D29" s="199">
        <v>291029452</v>
      </c>
      <c r="E29" s="276">
        <v>5700215002141</v>
      </c>
      <c r="F29" s="203" t="s">
        <v>168</v>
      </c>
      <c r="G29" s="200" t="e">
        <f>SUMIF('DS SV CT'!#REF!,NH!$E$12:$E$57,'DS SV CT'!#REF!)</f>
        <v>#REF!</v>
      </c>
      <c r="H29" s="214" t="s">
        <v>343</v>
      </c>
    </row>
    <row r="30" spans="1:8" ht="21.95" customHeight="1" x14ac:dyDescent="0.25">
      <c r="A30" s="253">
        <v>18</v>
      </c>
      <c r="B30" s="198" t="s">
        <v>60</v>
      </c>
      <c r="C30" s="197" t="s">
        <v>178</v>
      </c>
      <c r="D30" s="202" t="s">
        <v>179</v>
      </c>
      <c r="E30" s="276">
        <v>5700215015688</v>
      </c>
      <c r="F30" s="195" t="s">
        <v>168</v>
      </c>
      <c r="G30" s="200" t="e">
        <f>SUMIF('DS SV CT'!#REF!,NH!$E$12:$E$57,'DS SV CT'!#REF!)</f>
        <v>#REF!</v>
      </c>
      <c r="H30" s="214" t="s">
        <v>343</v>
      </c>
    </row>
    <row r="31" spans="1:8" ht="21.95" customHeight="1" x14ac:dyDescent="0.25">
      <c r="A31" s="253">
        <v>19</v>
      </c>
      <c r="B31" s="198" t="s">
        <v>62</v>
      </c>
      <c r="C31" s="197" t="s">
        <v>46</v>
      </c>
      <c r="D31" s="199">
        <v>290538761</v>
      </c>
      <c r="E31" s="278">
        <v>5700205116100</v>
      </c>
      <c r="F31" s="195" t="s">
        <v>168</v>
      </c>
      <c r="G31" s="200" t="e">
        <f>SUMIF('DS SV CT'!#REF!,NH!$E$12:$E$57,'DS SV CT'!#REF!)</f>
        <v>#REF!</v>
      </c>
      <c r="H31" s="214" t="s">
        <v>343</v>
      </c>
    </row>
    <row r="32" spans="1:8" ht="21.95" customHeight="1" x14ac:dyDescent="0.25">
      <c r="A32" s="253">
        <v>20</v>
      </c>
      <c r="B32" s="198" t="s">
        <v>64</v>
      </c>
      <c r="C32" s="197" t="s">
        <v>180</v>
      </c>
      <c r="D32" s="199">
        <v>290395491</v>
      </c>
      <c r="E32" s="276">
        <v>5700205101719</v>
      </c>
      <c r="F32" s="195" t="s">
        <v>168</v>
      </c>
      <c r="G32" s="200" t="e">
        <f>SUMIF('DS SV CT'!#REF!,NH!$E$12:$E$57,'DS SV CT'!#REF!)</f>
        <v>#REF!</v>
      </c>
      <c r="H32" s="214" t="s">
        <v>343</v>
      </c>
    </row>
    <row r="33" spans="1:8" ht="21.95" customHeight="1" x14ac:dyDescent="0.25">
      <c r="A33" s="253">
        <v>21</v>
      </c>
      <c r="B33" s="198"/>
      <c r="C33" s="197" t="s">
        <v>46</v>
      </c>
      <c r="D33" s="199">
        <v>290356332</v>
      </c>
      <c r="E33" s="278">
        <v>5700205047766</v>
      </c>
      <c r="F33" s="195" t="s">
        <v>168</v>
      </c>
      <c r="G33" s="200" t="e">
        <f>SUMIF('DS SV CT'!#REF!,NH!$E$12:$E$57,'DS SV CT'!#REF!)</f>
        <v>#REF!</v>
      </c>
      <c r="H33" s="214" t="s">
        <v>343</v>
      </c>
    </row>
    <row r="34" spans="1:8" ht="21.95" customHeight="1" x14ac:dyDescent="0.25">
      <c r="A34" s="253">
        <v>22</v>
      </c>
      <c r="B34" s="198" t="s">
        <v>67</v>
      </c>
      <c r="C34" s="197" t="s">
        <v>46</v>
      </c>
      <c r="D34" s="199">
        <v>290717320</v>
      </c>
      <c r="E34" s="276">
        <v>5700205345744</v>
      </c>
      <c r="F34" s="195" t="s">
        <v>168</v>
      </c>
      <c r="G34" s="200" t="e">
        <f>SUMIF('DS SV CT'!#REF!,NH!$E$12:$E$57,'DS SV CT'!#REF!)</f>
        <v>#REF!</v>
      </c>
      <c r="H34" s="214" t="s">
        <v>343</v>
      </c>
    </row>
    <row r="35" spans="1:8" ht="21.95" customHeight="1" x14ac:dyDescent="0.25">
      <c r="A35" s="253">
        <v>23</v>
      </c>
      <c r="B35" s="198" t="s">
        <v>68</v>
      </c>
      <c r="C35" s="197" t="s">
        <v>46</v>
      </c>
      <c r="D35" s="199">
        <v>290782669</v>
      </c>
      <c r="E35" s="278">
        <v>5700215002686</v>
      </c>
      <c r="F35" s="195" t="s">
        <v>168</v>
      </c>
      <c r="G35" s="200" t="e">
        <f>SUMIF('DS SV CT'!#REF!,NH!$E$12:$E$57,'DS SV CT'!#REF!)</f>
        <v>#REF!</v>
      </c>
      <c r="H35" s="214" t="s">
        <v>343</v>
      </c>
    </row>
    <row r="36" spans="1:8" ht="21.95" customHeight="1" x14ac:dyDescent="0.25">
      <c r="A36" s="253">
        <v>24</v>
      </c>
      <c r="B36" s="198" t="s">
        <v>181</v>
      </c>
      <c r="C36" s="197" t="s">
        <v>182</v>
      </c>
      <c r="D36" s="199">
        <v>290760987</v>
      </c>
      <c r="E36" s="278">
        <v>5700205217924</v>
      </c>
      <c r="F36" s="195" t="s">
        <v>168</v>
      </c>
      <c r="G36" s="200" t="e">
        <f>SUMIF('DS SV CT'!#REF!,NH!$E$12:$E$57,'DS SV CT'!#REF!)</f>
        <v>#REF!</v>
      </c>
      <c r="H36" s="214" t="s">
        <v>343</v>
      </c>
    </row>
    <row r="37" spans="1:8" ht="21.95" customHeight="1" x14ac:dyDescent="0.25">
      <c r="A37" s="253">
        <v>25</v>
      </c>
      <c r="B37" s="304" t="s">
        <v>69</v>
      </c>
      <c r="C37" s="274" t="s">
        <v>46</v>
      </c>
      <c r="D37" s="275">
        <v>290719395</v>
      </c>
      <c r="E37" s="303">
        <v>5700205787037</v>
      </c>
      <c r="F37" s="195" t="s">
        <v>168</v>
      </c>
      <c r="G37" s="200" t="e">
        <f>SUMIF('DS SV CT'!#REF!,NH!$E$12:$E$57,'DS SV CT'!#REF!)</f>
        <v>#REF!</v>
      </c>
      <c r="H37" s="214" t="s">
        <v>343</v>
      </c>
    </row>
    <row r="38" spans="1:8" ht="21.95" customHeight="1" x14ac:dyDescent="0.25">
      <c r="A38" s="253">
        <v>26</v>
      </c>
      <c r="B38" s="198" t="s">
        <v>184</v>
      </c>
      <c r="C38" s="197"/>
      <c r="D38" s="199"/>
      <c r="E38" s="278">
        <v>5700205732426</v>
      </c>
      <c r="F38" s="195" t="s">
        <v>168</v>
      </c>
      <c r="G38" s="200" t="e">
        <f>SUMIF('DS SV CT'!#REF!,NH!$E$12:$E$57,'DS SV CT'!#REF!)</f>
        <v>#REF!</v>
      </c>
      <c r="H38" s="214" t="s">
        <v>343</v>
      </c>
    </row>
    <row r="39" spans="1:8" ht="21.95" hidden="1" customHeight="1" x14ac:dyDescent="0.25">
      <c r="A39" s="253">
        <v>28</v>
      </c>
      <c r="B39" s="112" t="s">
        <v>194</v>
      </c>
      <c r="C39" s="197"/>
      <c r="D39" s="199"/>
      <c r="E39" s="278">
        <v>5700215023561</v>
      </c>
      <c r="F39" s="195" t="s">
        <v>168</v>
      </c>
      <c r="G39" s="200"/>
      <c r="H39" s="214" t="s">
        <v>343</v>
      </c>
    </row>
    <row r="40" spans="1:8" ht="21.95" hidden="1" customHeight="1" x14ac:dyDescent="0.25">
      <c r="A40" s="253">
        <v>29</v>
      </c>
      <c r="B40" s="112" t="s">
        <v>188</v>
      </c>
      <c r="C40" s="197"/>
      <c r="D40" s="199"/>
      <c r="E40" s="278">
        <v>5700205611653</v>
      </c>
      <c r="F40" s="195" t="s">
        <v>168</v>
      </c>
      <c r="G40" s="200"/>
      <c r="H40" s="214" t="s">
        <v>343</v>
      </c>
    </row>
    <row r="41" spans="1:8" ht="21.95" hidden="1" customHeight="1" x14ac:dyDescent="0.25">
      <c r="A41" s="253">
        <v>30</v>
      </c>
      <c r="B41" s="142" t="s">
        <v>186</v>
      </c>
      <c r="C41" s="197"/>
      <c r="D41" s="199"/>
      <c r="E41" s="278">
        <v>5700215025681</v>
      </c>
      <c r="F41" s="195" t="s">
        <v>168</v>
      </c>
      <c r="G41" s="200"/>
      <c r="H41" s="214" t="s">
        <v>343</v>
      </c>
    </row>
    <row r="42" spans="1:8" ht="21.95" hidden="1" customHeight="1" x14ac:dyDescent="0.25">
      <c r="A42" s="253"/>
      <c r="B42" s="198" t="s">
        <v>23</v>
      </c>
      <c r="C42" s="197"/>
      <c r="D42" s="199"/>
      <c r="E42" s="278">
        <v>100006672055</v>
      </c>
      <c r="F42" s="195" t="s">
        <v>183</v>
      </c>
      <c r="G42" s="200"/>
      <c r="H42" s="214" t="s">
        <v>343</v>
      </c>
    </row>
    <row r="43" spans="1:8" ht="21.95" customHeight="1" x14ac:dyDescent="0.25">
      <c r="A43" s="253">
        <v>27</v>
      </c>
      <c r="B43" s="198" t="s">
        <v>70</v>
      </c>
      <c r="C43" s="197" t="s">
        <v>46</v>
      </c>
      <c r="D43" s="199">
        <v>290658977</v>
      </c>
      <c r="E43" s="278">
        <v>5700205478834</v>
      </c>
      <c r="F43" s="195" t="s">
        <v>168</v>
      </c>
      <c r="G43" s="200" t="e">
        <f>SUMIF('DS SV CT'!#REF!,NH!$E$12:$E$57,'DS SV CT'!#REF!)</f>
        <v>#REF!</v>
      </c>
      <c r="H43" s="214" t="s">
        <v>343</v>
      </c>
    </row>
    <row r="44" spans="1:8" hidden="1" x14ac:dyDescent="0.25">
      <c r="A44" s="253">
        <f>IF(B44&lt;&gt;"",COUNTA($B$12:B44),"")</f>
        <v>32</v>
      </c>
      <c r="B44" s="198" t="s">
        <v>185</v>
      </c>
      <c r="C44" s="197" t="s">
        <v>46</v>
      </c>
      <c r="D44" s="199">
        <v>290653230</v>
      </c>
      <c r="E44" s="278">
        <v>5700205105840</v>
      </c>
      <c r="F44" s="111"/>
      <c r="G44" s="113"/>
      <c r="H44" s="214" t="str">
        <f t="shared" ref="H44:H52" si="0">H39</f>
        <v>Chuyển lương, PC tháng 01, 02, Tiền tết</v>
      </c>
    </row>
    <row r="45" spans="1:8" hidden="1" x14ac:dyDescent="0.25">
      <c r="A45" s="253">
        <f>IF(B45&lt;&gt;"",COUNTA($B$12:B45),"")</f>
        <v>33</v>
      </c>
      <c r="B45" s="198" t="s">
        <v>186</v>
      </c>
      <c r="C45" s="197" t="s">
        <v>46</v>
      </c>
      <c r="D45" s="202" t="s">
        <v>187</v>
      </c>
      <c r="E45" s="278">
        <v>5700215025681</v>
      </c>
      <c r="F45" s="111"/>
      <c r="G45" s="113"/>
      <c r="H45" s="214" t="str">
        <f t="shared" si="0"/>
        <v>Chuyển lương, PC tháng 01, 02, Tiền tết</v>
      </c>
    </row>
    <row r="46" spans="1:8" hidden="1" x14ac:dyDescent="0.25">
      <c r="A46" s="253">
        <f>IF(B46&lt;&gt;"",COUNTA($B$12:B46),"")</f>
        <v>34</v>
      </c>
      <c r="B46" s="198" t="s">
        <v>188</v>
      </c>
      <c r="C46" s="197" t="s">
        <v>46</v>
      </c>
      <c r="D46" s="202"/>
      <c r="E46" s="278">
        <v>5700205611653</v>
      </c>
      <c r="F46" s="111"/>
      <c r="G46" s="113"/>
      <c r="H46" s="214" t="str">
        <f t="shared" si="0"/>
        <v>Chuyển lương, PC tháng 01, 02, Tiền tết</v>
      </c>
    </row>
    <row r="47" spans="1:8" hidden="1" x14ac:dyDescent="0.25">
      <c r="A47" s="253">
        <f>IF(B47&lt;&gt;"",COUNTA($B$12:B47),"")</f>
        <v>35</v>
      </c>
      <c r="B47" s="204" t="s">
        <v>189</v>
      </c>
      <c r="C47" s="197" t="s">
        <v>190</v>
      </c>
      <c r="D47" s="202" t="s">
        <v>191</v>
      </c>
      <c r="E47" s="278">
        <v>5700215008364</v>
      </c>
      <c r="F47" s="111"/>
      <c r="G47" s="113"/>
      <c r="H47" s="214" t="str">
        <f t="shared" si="0"/>
        <v>Chuyển lương, PC tháng 01, 02, Tiền tết</v>
      </c>
    </row>
    <row r="48" spans="1:8" hidden="1" x14ac:dyDescent="0.25">
      <c r="A48" s="253">
        <f>IF(B48&lt;&gt;"",COUNTA($B$12:B48),"")</f>
        <v>36</v>
      </c>
      <c r="B48" s="198" t="s">
        <v>192</v>
      </c>
      <c r="C48" s="197" t="s">
        <v>190</v>
      </c>
      <c r="D48" s="202" t="s">
        <v>193</v>
      </c>
      <c r="E48" s="279">
        <v>5706215000407</v>
      </c>
      <c r="F48" s="205"/>
      <c r="G48" s="206"/>
      <c r="H48" s="214" t="str">
        <f t="shared" si="0"/>
        <v>Chuyển lương, PC tháng 01, 02, Tiền tết</v>
      </c>
    </row>
    <row r="49" spans="1:8" hidden="1" x14ac:dyDescent="0.25">
      <c r="A49" s="253">
        <f>IF(B49&lt;&gt;"",COUNTA($B$12:B49),"")</f>
        <v>37</v>
      </c>
      <c r="B49" s="198" t="s">
        <v>194</v>
      </c>
      <c r="C49" s="197" t="s">
        <v>46</v>
      </c>
      <c r="D49" s="202" t="s">
        <v>195</v>
      </c>
      <c r="E49" s="278">
        <v>5700215023561</v>
      </c>
      <c r="F49" s="111"/>
      <c r="G49" s="113"/>
      <c r="H49" s="214" t="str">
        <f t="shared" si="0"/>
        <v>Chuyển lương, PC tháng 01, 02, Tiền tết</v>
      </c>
    </row>
    <row r="50" spans="1:8" s="180" customFormat="1" ht="18" customHeight="1" x14ac:dyDescent="0.2">
      <c r="A50" s="302" t="s">
        <v>199</v>
      </c>
      <c r="B50" s="207" t="s">
        <v>290</v>
      </c>
      <c r="C50" s="296"/>
      <c r="D50" s="208"/>
      <c r="E50" s="280"/>
      <c r="F50" s="116"/>
      <c r="G50" s="117" t="e">
        <f>G51</f>
        <v>#REF!</v>
      </c>
      <c r="H50" s="214"/>
    </row>
    <row r="51" spans="1:8" x14ac:dyDescent="0.25">
      <c r="A51" s="253">
        <f>IF(B51&lt;&gt;"",COUNTA($B$12:B51),"")</f>
        <v>39</v>
      </c>
      <c r="B51" s="198" t="s">
        <v>196</v>
      </c>
      <c r="C51" s="197" t="s">
        <v>46</v>
      </c>
      <c r="D51" s="202" t="s">
        <v>197</v>
      </c>
      <c r="E51" s="278">
        <v>5700215008256</v>
      </c>
      <c r="F51" s="195" t="s">
        <v>168</v>
      </c>
      <c r="G51" s="113" t="e">
        <f>'DS SV CT'!#REF!</f>
        <v>#REF!</v>
      </c>
      <c r="H51" s="214" t="s">
        <v>343</v>
      </c>
    </row>
    <row r="52" spans="1:8" hidden="1" x14ac:dyDescent="0.25">
      <c r="A52" s="253">
        <f>IF(B52&lt;&gt;"",COUNTA($B$12:B52),"")</f>
        <v>40</v>
      </c>
      <c r="B52" s="198" t="s">
        <v>198</v>
      </c>
      <c r="C52" s="197" t="s">
        <v>46</v>
      </c>
      <c r="D52" s="202">
        <v>290903007</v>
      </c>
      <c r="E52" s="278">
        <v>5700205561866</v>
      </c>
      <c r="F52" s="111"/>
      <c r="G52" s="113"/>
      <c r="H52" s="214" t="str">
        <f t="shared" si="0"/>
        <v>Chuyển lương, PC tháng 01, 02, Tiền tết</v>
      </c>
    </row>
    <row r="53" spans="1:8" s="180" customFormat="1" ht="15" customHeight="1" x14ac:dyDescent="0.2">
      <c r="A53" s="191" t="s">
        <v>289</v>
      </c>
      <c r="B53" s="207" t="s">
        <v>277</v>
      </c>
      <c r="C53" s="191"/>
      <c r="D53" s="208"/>
      <c r="E53" s="280"/>
      <c r="F53" s="116"/>
      <c r="G53" s="117" t="e">
        <f>SUM(G54:G57)</f>
        <v>#REF!</v>
      </c>
      <c r="H53" s="215"/>
    </row>
    <row r="54" spans="1:8" ht="21.95" customHeight="1" x14ac:dyDescent="0.25">
      <c r="A54" s="253">
        <f>IF(B54&lt;&gt;"",COUNTA($B$12:B12),"")</f>
        <v>1</v>
      </c>
      <c r="B54" s="198" t="s">
        <v>74</v>
      </c>
      <c r="C54" s="197" t="s">
        <v>75</v>
      </c>
      <c r="D54" s="209">
        <v>290332545</v>
      </c>
      <c r="E54" s="276">
        <v>5700205047976</v>
      </c>
      <c r="F54" s="195" t="s">
        <v>168</v>
      </c>
      <c r="G54" s="200" t="e">
        <f>SUMIF('DS SV CT'!#REF!,NH!$E$12:$E$57,'DS SV CT'!#REF!)</f>
        <v>#REF!</v>
      </c>
      <c r="H54" s="214" t="s">
        <v>343</v>
      </c>
    </row>
    <row r="55" spans="1:8" ht="21.95" customHeight="1" x14ac:dyDescent="0.25">
      <c r="A55" s="253">
        <f>IF(B55&lt;&gt;"",COUNTA($B$12:B13),"")</f>
        <v>2</v>
      </c>
      <c r="B55" s="198" t="s">
        <v>77</v>
      </c>
      <c r="C55" s="197" t="s">
        <v>75</v>
      </c>
      <c r="D55" s="210" t="s">
        <v>200</v>
      </c>
      <c r="E55" s="276">
        <v>5700205047982</v>
      </c>
      <c r="F55" s="195" t="s">
        <v>168</v>
      </c>
      <c r="G55" s="200" t="e">
        <f>SUMIF('DS SV CT'!#REF!,NH!$E$12:$E$57,'DS SV CT'!#REF!)</f>
        <v>#REF!</v>
      </c>
      <c r="H55" s="214" t="s">
        <v>343</v>
      </c>
    </row>
    <row r="56" spans="1:8" ht="21.95" customHeight="1" x14ac:dyDescent="0.25">
      <c r="A56" s="253">
        <f>IF(B56&lt;&gt;"",COUNTA($B$12:B14),"")</f>
        <v>3</v>
      </c>
      <c r="B56" s="198" t="s">
        <v>78</v>
      </c>
      <c r="C56" s="197" t="s">
        <v>34</v>
      </c>
      <c r="D56" s="209">
        <v>290381171</v>
      </c>
      <c r="E56" s="276">
        <v>5700205345800</v>
      </c>
      <c r="F56" s="195" t="s">
        <v>168</v>
      </c>
      <c r="G56" s="200" t="e">
        <f>SUMIF('DS SV CT'!#REF!,NH!$E$12:$E$57,'DS SV CT'!#REF!)</f>
        <v>#REF!</v>
      </c>
      <c r="H56" s="214" t="s">
        <v>343</v>
      </c>
    </row>
    <row r="57" spans="1:8" ht="21.95" customHeight="1" x14ac:dyDescent="0.3">
      <c r="A57" s="253">
        <f>IF(B57&lt;&gt;"",COUNTA($B$12:B15),"")</f>
        <v>4</v>
      </c>
      <c r="B57" s="198" t="s">
        <v>286</v>
      </c>
      <c r="C57" s="197" t="s">
        <v>79</v>
      </c>
      <c r="D57" s="211">
        <v>290384586</v>
      </c>
      <c r="E57" s="276">
        <v>5700205194000</v>
      </c>
      <c r="F57" s="195" t="s">
        <v>168</v>
      </c>
      <c r="G57" s="200" t="e">
        <f>SUMIF('DS SV CT'!#REF!,NH!$E$12:$E$57,'DS SV CT'!#REF!)</f>
        <v>#REF!</v>
      </c>
      <c r="H57" s="214" t="s">
        <v>343</v>
      </c>
    </row>
    <row r="58" spans="1:8" ht="35.25" customHeight="1" x14ac:dyDescent="0.25">
      <c r="A58" s="587" t="s">
        <v>292</v>
      </c>
      <c r="B58" s="587"/>
      <c r="C58" s="587"/>
      <c r="D58" s="587"/>
      <c r="E58" s="587"/>
      <c r="F58" s="587"/>
      <c r="G58" s="587"/>
      <c r="H58" s="587"/>
    </row>
    <row r="59" spans="1:8" ht="21.75" customHeight="1" x14ac:dyDescent="0.25">
      <c r="A59" s="183"/>
      <c r="B59" s="184"/>
      <c r="C59" s="184"/>
      <c r="D59" s="184"/>
      <c r="E59" s="184"/>
      <c r="F59" s="184"/>
      <c r="G59" s="184"/>
    </row>
    <row r="60" spans="1:8" ht="21.75" customHeight="1" x14ac:dyDescent="0.25">
      <c r="D60" s="185"/>
      <c r="E60" s="186"/>
      <c r="F60" s="592">
        <v>44356</v>
      </c>
      <c r="G60" s="592"/>
      <c r="H60" s="592"/>
    </row>
    <row r="61" spans="1:8" x14ac:dyDescent="0.25">
      <c r="A61" s="593" t="s">
        <v>201</v>
      </c>
      <c r="B61" s="593"/>
      <c r="C61" s="593"/>
      <c r="D61" s="593"/>
      <c r="E61" s="593"/>
      <c r="F61" s="586" t="s">
        <v>282</v>
      </c>
      <c r="G61" s="586"/>
      <c r="H61" s="586"/>
    </row>
    <row r="62" spans="1:8" x14ac:dyDescent="0.25">
      <c r="A62" s="293"/>
      <c r="B62" s="293"/>
      <c r="C62" s="293"/>
      <c r="D62" s="293"/>
      <c r="E62" s="293"/>
      <c r="F62" s="292"/>
      <c r="G62" s="292"/>
      <c r="H62" s="292" t="s">
        <v>278</v>
      </c>
    </row>
    <row r="63" spans="1:8" ht="21.75" customHeight="1" x14ac:dyDescent="0.25">
      <c r="A63" s="187" t="s">
        <v>202</v>
      </c>
      <c r="B63" s="187"/>
      <c r="C63" s="187"/>
      <c r="D63" s="187"/>
      <c r="E63" s="176"/>
      <c r="F63" s="188" t="s">
        <v>203</v>
      </c>
      <c r="H63" s="187" t="s">
        <v>294</v>
      </c>
    </row>
    <row r="66" spans="1:7" x14ac:dyDescent="0.25">
      <c r="A66" s="180"/>
      <c r="B66" s="180"/>
      <c r="C66" s="180"/>
      <c r="D66" s="188"/>
      <c r="E66" s="180"/>
      <c r="F66" s="180"/>
    </row>
    <row r="68" spans="1:7" x14ac:dyDescent="0.25">
      <c r="B68" s="187"/>
      <c r="C68" s="187"/>
      <c r="D68" s="187"/>
      <c r="E68" s="586"/>
      <c r="F68" s="586"/>
      <c r="G68" s="586"/>
    </row>
    <row r="69" spans="1:7" x14ac:dyDescent="0.25">
      <c r="B69" s="187"/>
      <c r="C69" s="187"/>
      <c r="D69" s="187"/>
      <c r="E69" s="187"/>
      <c r="F69" s="187"/>
      <c r="G69" s="187"/>
    </row>
    <row r="70" spans="1:7" x14ac:dyDescent="0.25">
      <c r="A70" s="189"/>
      <c r="B70" s="189"/>
      <c r="C70" s="189"/>
      <c r="D70" s="189"/>
      <c r="E70" s="189"/>
      <c r="F70" s="189"/>
      <c r="G70" s="189"/>
    </row>
  </sheetData>
  <mergeCells count="13">
    <mergeCell ref="E68:G68"/>
    <mergeCell ref="A58:H58"/>
    <mergeCell ref="A3:G3"/>
    <mergeCell ref="A4:H4"/>
    <mergeCell ref="A5:H5"/>
    <mergeCell ref="A7:A8"/>
    <mergeCell ref="B7:B8"/>
    <mergeCell ref="E7:F7"/>
    <mergeCell ref="G7:G8"/>
    <mergeCell ref="H7:H8"/>
    <mergeCell ref="F60:H60"/>
    <mergeCell ref="A61:E61"/>
    <mergeCell ref="F61:H61"/>
  </mergeCells>
  <conditionalFormatting sqref="E59:E65537 E1:E57">
    <cfRule type="duplicateValues" dxfId="2" priority="1" stopIfTrue="1"/>
    <cfRule type="duplicateValues" dxfId="1" priority="2" stopIfTrue="1"/>
    <cfRule type="duplicateValues" dxfId="0" priority="3" stopIfTrue="1"/>
  </conditionalFormatting>
  <printOptions horizontalCentered="1"/>
  <pageMargins left="0" right="0" top="0.41" bottom="0.5" header="0.05" footer="0.55000000000000004"/>
  <pageSetup paperSize="9" orientation="portrait" r:id="rId1"/>
  <headerFooter>
    <oddFooter>&amp;RTrang&amp;P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topLeftCell="A13" zoomScale="90" zoomScaleNormal="90" workbookViewId="0">
      <selection activeCell="F7" sqref="F7:F21"/>
    </sheetView>
  </sheetViews>
  <sheetFormatPr defaultRowHeight="18.75" x14ac:dyDescent="0.25"/>
  <cols>
    <col min="1" max="1" width="7.5703125" style="567" customWidth="1"/>
    <col min="2" max="2" width="30.5703125" style="567" customWidth="1"/>
    <col min="3" max="3" width="15.5703125" style="581" customWidth="1"/>
    <col min="4" max="4" width="24.5703125" style="581" customWidth="1"/>
    <col min="5" max="5" width="0.28515625" style="582" hidden="1" customWidth="1"/>
    <col min="6" max="6" width="23.42578125" style="582" customWidth="1"/>
    <col min="7" max="16384" width="9.140625" style="567"/>
  </cols>
  <sheetData>
    <row r="1" spans="1:6" ht="16.5" customHeight="1" x14ac:dyDescent="0.25">
      <c r="A1" s="594" t="s">
        <v>396</v>
      </c>
      <c r="B1" s="594"/>
      <c r="C1" s="594"/>
      <c r="D1" s="594"/>
      <c r="E1" s="594"/>
      <c r="F1" s="594"/>
    </row>
    <row r="2" spans="1:6" ht="26.25" customHeight="1" x14ac:dyDescent="0.25">
      <c r="A2" s="595"/>
      <c r="B2" s="595"/>
      <c r="C2" s="595"/>
      <c r="D2" s="595"/>
      <c r="E2" s="595"/>
      <c r="F2" s="595"/>
    </row>
    <row r="3" spans="1:6" s="568" customFormat="1" x14ac:dyDescent="0.25">
      <c r="A3" s="596" t="s">
        <v>393</v>
      </c>
      <c r="B3" s="596"/>
      <c r="C3" s="596"/>
      <c r="D3" s="596"/>
      <c r="E3" s="596"/>
      <c r="F3" s="596"/>
    </row>
    <row r="4" spans="1:6" s="568" customFormat="1" x14ac:dyDescent="0.25">
      <c r="A4" s="569"/>
      <c r="B4" s="569"/>
      <c r="C4" s="569"/>
      <c r="D4" s="569"/>
      <c r="E4" s="569"/>
      <c r="F4" s="569"/>
    </row>
    <row r="5" spans="1:6" s="568" customFormat="1" x14ac:dyDescent="0.25">
      <c r="A5" s="569"/>
      <c r="B5" s="569"/>
      <c r="C5" s="569"/>
      <c r="D5" s="569"/>
      <c r="E5" s="569"/>
      <c r="F5" s="584" t="s">
        <v>394</v>
      </c>
    </row>
    <row r="6" spans="1:6" s="572" customFormat="1" ht="71.25" customHeight="1" x14ac:dyDescent="0.25">
      <c r="A6" s="570" t="s">
        <v>354</v>
      </c>
      <c r="B6" s="570" t="s">
        <v>7</v>
      </c>
      <c r="C6" s="570" t="s">
        <v>392</v>
      </c>
      <c r="D6" s="570" t="s">
        <v>391</v>
      </c>
      <c r="E6" s="571" t="s">
        <v>389</v>
      </c>
      <c r="F6" s="571" t="s">
        <v>390</v>
      </c>
    </row>
    <row r="7" spans="1:6" ht="21" customHeight="1" x14ac:dyDescent="0.3">
      <c r="A7" s="573">
        <v>1</v>
      </c>
      <c r="B7" s="574" t="s">
        <v>355</v>
      </c>
      <c r="C7" s="575">
        <v>2017</v>
      </c>
      <c r="D7" s="575">
        <v>13</v>
      </c>
      <c r="E7" s="576">
        <v>924300</v>
      </c>
      <c r="F7" s="583">
        <f t="shared" ref="F7:F41" si="0">E7*D7</f>
        <v>12015900</v>
      </c>
    </row>
    <row r="8" spans="1:6" ht="21" customHeight="1" x14ac:dyDescent="0.3">
      <c r="A8" s="573">
        <v>2</v>
      </c>
      <c r="B8" s="574" t="s">
        <v>356</v>
      </c>
      <c r="C8" s="575">
        <v>2017</v>
      </c>
      <c r="D8" s="575">
        <v>11</v>
      </c>
      <c r="E8" s="576">
        <v>924300</v>
      </c>
      <c r="F8" s="583">
        <f t="shared" si="0"/>
        <v>10167300</v>
      </c>
    </row>
    <row r="9" spans="1:6" ht="21" customHeight="1" x14ac:dyDescent="0.3">
      <c r="A9" s="573">
        <v>3</v>
      </c>
      <c r="B9" s="574" t="s">
        <v>357</v>
      </c>
      <c r="C9" s="575">
        <v>2018</v>
      </c>
      <c r="D9" s="575">
        <v>11</v>
      </c>
      <c r="E9" s="576">
        <v>924300</v>
      </c>
      <c r="F9" s="583">
        <f t="shared" si="0"/>
        <v>10167300</v>
      </c>
    </row>
    <row r="10" spans="1:6" ht="21" customHeight="1" x14ac:dyDescent="0.3">
      <c r="A10" s="573">
        <v>4</v>
      </c>
      <c r="B10" s="574" t="s">
        <v>358</v>
      </c>
      <c r="C10" s="575">
        <v>2018</v>
      </c>
      <c r="D10" s="575">
        <v>11</v>
      </c>
      <c r="E10" s="576">
        <v>924300</v>
      </c>
      <c r="F10" s="583">
        <f t="shared" si="0"/>
        <v>10167300</v>
      </c>
    </row>
    <row r="11" spans="1:6" ht="21" customHeight="1" x14ac:dyDescent="0.3">
      <c r="A11" s="573">
        <v>5</v>
      </c>
      <c r="B11" s="574" t="s">
        <v>359</v>
      </c>
      <c r="C11" s="575">
        <v>2018</v>
      </c>
      <c r="D11" s="575">
        <v>9</v>
      </c>
      <c r="E11" s="576">
        <v>924300</v>
      </c>
      <c r="F11" s="583">
        <f t="shared" si="0"/>
        <v>8318700</v>
      </c>
    </row>
    <row r="12" spans="1:6" ht="21" customHeight="1" x14ac:dyDescent="0.3">
      <c r="A12" s="573">
        <v>6</v>
      </c>
      <c r="B12" s="574" t="s">
        <v>388</v>
      </c>
      <c r="C12" s="575">
        <v>2018</v>
      </c>
      <c r="D12" s="575">
        <v>11</v>
      </c>
      <c r="E12" s="576">
        <v>924300</v>
      </c>
      <c r="F12" s="583">
        <f t="shared" si="0"/>
        <v>10167300</v>
      </c>
    </row>
    <row r="13" spans="1:6" ht="21" customHeight="1" x14ac:dyDescent="0.3">
      <c r="A13" s="573">
        <v>7</v>
      </c>
      <c r="B13" s="574" t="s">
        <v>360</v>
      </c>
      <c r="C13" s="575">
        <v>2018</v>
      </c>
      <c r="D13" s="575">
        <v>11</v>
      </c>
      <c r="E13" s="576">
        <v>924300</v>
      </c>
      <c r="F13" s="583">
        <f t="shared" si="0"/>
        <v>10167300</v>
      </c>
    </row>
    <row r="14" spans="1:6" ht="21" customHeight="1" x14ac:dyDescent="0.3">
      <c r="A14" s="573">
        <v>8</v>
      </c>
      <c r="B14" s="574" t="s">
        <v>361</v>
      </c>
      <c r="C14" s="575">
        <v>2018</v>
      </c>
      <c r="D14" s="575">
        <v>11</v>
      </c>
      <c r="E14" s="576">
        <v>924300</v>
      </c>
      <c r="F14" s="583">
        <f t="shared" si="0"/>
        <v>10167300</v>
      </c>
    </row>
    <row r="15" spans="1:6" ht="21" customHeight="1" x14ac:dyDescent="0.3">
      <c r="A15" s="573">
        <v>9</v>
      </c>
      <c r="B15" s="574" t="s">
        <v>362</v>
      </c>
      <c r="C15" s="575">
        <v>2018</v>
      </c>
      <c r="D15" s="575">
        <v>8</v>
      </c>
      <c r="E15" s="576">
        <v>924300</v>
      </c>
      <c r="F15" s="583">
        <f t="shared" si="0"/>
        <v>7394400</v>
      </c>
    </row>
    <row r="16" spans="1:6" ht="21" customHeight="1" x14ac:dyDescent="0.3">
      <c r="A16" s="573">
        <v>10</v>
      </c>
      <c r="B16" s="574" t="s">
        <v>363</v>
      </c>
      <c r="C16" s="575">
        <v>2018</v>
      </c>
      <c r="D16" s="575">
        <v>10</v>
      </c>
      <c r="E16" s="576">
        <v>794300</v>
      </c>
      <c r="F16" s="583">
        <f t="shared" si="0"/>
        <v>7943000</v>
      </c>
    </row>
    <row r="17" spans="1:6" ht="21" customHeight="1" x14ac:dyDescent="0.3">
      <c r="A17" s="573">
        <v>11</v>
      </c>
      <c r="B17" s="574" t="s">
        <v>364</v>
      </c>
      <c r="C17" s="575">
        <v>2018</v>
      </c>
      <c r="D17" s="575">
        <v>11</v>
      </c>
      <c r="E17" s="576">
        <v>924300</v>
      </c>
      <c r="F17" s="583">
        <f t="shared" si="0"/>
        <v>10167300</v>
      </c>
    </row>
    <row r="18" spans="1:6" ht="21" customHeight="1" x14ac:dyDescent="0.3">
      <c r="A18" s="573">
        <v>12</v>
      </c>
      <c r="B18" s="574" t="s">
        <v>365</v>
      </c>
      <c r="C18" s="575">
        <v>2018</v>
      </c>
      <c r="D18" s="575">
        <v>11</v>
      </c>
      <c r="E18" s="576">
        <v>924300</v>
      </c>
      <c r="F18" s="583">
        <f t="shared" si="0"/>
        <v>10167300</v>
      </c>
    </row>
    <row r="19" spans="1:6" ht="21" customHeight="1" x14ac:dyDescent="0.3">
      <c r="A19" s="573">
        <v>13</v>
      </c>
      <c r="B19" s="574" t="s">
        <v>366</v>
      </c>
      <c r="C19" s="575">
        <v>2018</v>
      </c>
      <c r="D19" s="575">
        <v>10</v>
      </c>
      <c r="E19" s="576">
        <v>924300</v>
      </c>
      <c r="F19" s="583">
        <f t="shared" si="0"/>
        <v>9243000</v>
      </c>
    </row>
    <row r="20" spans="1:6" ht="21" customHeight="1" x14ac:dyDescent="0.3">
      <c r="A20" s="573">
        <v>14</v>
      </c>
      <c r="B20" s="574" t="s">
        <v>367</v>
      </c>
      <c r="C20" s="575">
        <v>2018</v>
      </c>
      <c r="D20" s="575">
        <v>10</v>
      </c>
      <c r="E20" s="576">
        <v>924300</v>
      </c>
      <c r="F20" s="583">
        <f t="shared" si="0"/>
        <v>9243000</v>
      </c>
    </row>
    <row r="21" spans="1:6" ht="21" customHeight="1" x14ac:dyDescent="0.3">
      <c r="A21" s="573">
        <v>15</v>
      </c>
      <c r="B21" s="574" t="s">
        <v>368</v>
      </c>
      <c r="C21" s="575">
        <v>2018</v>
      </c>
      <c r="D21" s="575">
        <v>10</v>
      </c>
      <c r="E21" s="576">
        <v>924300</v>
      </c>
      <c r="F21" s="583">
        <f t="shared" si="0"/>
        <v>9243000</v>
      </c>
    </row>
    <row r="22" spans="1:6" ht="21" customHeight="1" x14ac:dyDescent="0.3">
      <c r="A22" s="573">
        <v>16</v>
      </c>
      <c r="B22" s="574" t="s">
        <v>369</v>
      </c>
      <c r="C22" s="575">
        <v>2019</v>
      </c>
      <c r="D22" s="575">
        <v>11</v>
      </c>
      <c r="E22" s="576">
        <v>924300</v>
      </c>
      <c r="F22" s="583">
        <f t="shared" si="0"/>
        <v>10167300</v>
      </c>
    </row>
    <row r="23" spans="1:6" ht="21" customHeight="1" x14ac:dyDescent="0.3">
      <c r="A23" s="573">
        <v>17</v>
      </c>
      <c r="B23" s="574" t="s">
        <v>370</v>
      </c>
      <c r="C23" s="575">
        <v>2019</v>
      </c>
      <c r="D23" s="575">
        <v>8</v>
      </c>
      <c r="E23" s="576">
        <v>924300</v>
      </c>
      <c r="F23" s="583">
        <f t="shared" si="0"/>
        <v>7394400</v>
      </c>
    </row>
    <row r="24" spans="1:6" ht="21" customHeight="1" x14ac:dyDescent="0.3">
      <c r="A24" s="573">
        <v>18</v>
      </c>
      <c r="B24" s="574" t="s">
        <v>371</v>
      </c>
      <c r="C24" s="577">
        <v>2019</v>
      </c>
      <c r="D24" s="575">
        <v>11</v>
      </c>
      <c r="E24" s="576">
        <v>924300</v>
      </c>
      <c r="F24" s="583">
        <f t="shared" si="0"/>
        <v>10167300</v>
      </c>
    </row>
    <row r="25" spans="1:6" ht="21" customHeight="1" x14ac:dyDescent="0.3">
      <c r="A25" s="573">
        <v>19</v>
      </c>
      <c r="B25" s="574" t="s">
        <v>372</v>
      </c>
      <c r="C25" s="575">
        <v>2019</v>
      </c>
      <c r="D25" s="575">
        <v>10</v>
      </c>
      <c r="E25" s="576">
        <v>924300</v>
      </c>
      <c r="F25" s="583">
        <f t="shared" si="0"/>
        <v>9243000</v>
      </c>
    </row>
    <row r="26" spans="1:6" ht="21" customHeight="1" x14ac:dyDescent="0.3">
      <c r="A26" s="573">
        <v>20</v>
      </c>
      <c r="B26" s="574" t="s">
        <v>373</v>
      </c>
      <c r="C26" s="575">
        <v>2019</v>
      </c>
      <c r="D26" s="575">
        <v>12</v>
      </c>
      <c r="E26" s="576">
        <v>924300</v>
      </c>
      <c r="F26" s="583">
        <f t="shared" si="0"/>
        <v>11091600</v>
      </c>
    </row>
    <row r="27" spans="1:6" ht="21" customHeight="1" x14ac:dyDescent="0.3">
      <c r="A27" s="573">
        <v>21</v>
      </c>
      <c r="B27" s="574" t="s">
        <v>374</v>
      </c>
      <c r="C27" s="575">
        <v>2019</v>
      </c>
      <c r="D27" s="575">
        <v>10</v>
      </c>
      <c r="E27" s="576">
        <v>924300</v>
      </c>
      <c r="F27" s="583">
        <f t="shared" si="0"/>
        <v>9243000</v>
      </c>
    </row>
    <row r="28" spans="1:6" ht="21" customHeight="1" x14ac:dyDescent="0.3">
      <c r="A28" s="573">
        <v>22</v>
      </c>
      <c r="B28" s="574" t="s">
        <v>395</v>
      </c>
      <c r="C28" s="575">
        <v>2019</v>
      </c>
      <c r="D28" s="575">
        <v>10</v>
      </c>
      <c r="E28" s="576">
        <v>924300</v>
      </c>
      <c r="F28" s="583">
        <f t="shared" si="0"/>
        <v>9243000</v>
      </c>
    </row>
    <row r="29" spans="1:6" ht="21" customHeight="1" x14ac:dyDescent="0.3">
      <c r="A29" s="573">
        <v>23</v>
      </c>
      <c r="B29" s="574" t="s">
        <v>375</v>
      </c>
      <c r="C29" s="575">
        <v>2020</v>
      </c>
      <c r="D29" s="575">
        <v>11</v>
      </c>
      <c r="E29" s="576">
        <v>924300</v>
      </c>
      <c r="F29" s="583">
        <f t="shared" si="0"/>
        <v>10167300</v>
      </c>
    </row>
    <row r="30" spans="1:6" ht="21" customHeight="1" x14ac:dyDescent="0.3">
      <c r="A30" s="573">
        <v>24</v>
      </c>
      <c r="B30" s="574" t="s">
        <v>376</v>
      </c>
      <c r="C30" s="575">
        <v>2020</v>
      </c>
      <c r="D30" s="575">
        <v>11</v>
      </c>
      <c r="E30" s="576">
        <v>924300</v>
      </c>
      <c r="F30" s="583">
        <f t="shared" si="0"/>
        <v>10167300</v>
      </c>
    </row>
    <row r="31" spans="1:6" ht="21" customHeight="1" x14ac:dyDescent="0.3">
      <c r="A31" s="573">
        <v>25</v>
      </c>
      <c r="B31" s="574" t="s">
        <v>377</v>
      </c>
      <c r="C31" s="577">
        <v>2020</v>
      </c>
      <c r="D31" s="575">
        <v>10</v>
      </c>
      <c r="E31" s="576">
        <v>924300</v>
      </c>
      <c r="F31" s="583">
        <f t="shared" si="0"/>
        <v>9243000</v>
      </c>
    </row>
    <row r="32" spans="1:6" ht="21" customHeight="1" x14ac:dyDescent="0.3">
      <c r="A32" s="573">
        <v>26</v>
      </c>
      <c r="B32" s="574" t="s">
        <v>378</v>
      </c>
      <c r="C32" s="575">
        <v>2020</v>
      </c>
      <c r="D32" s="575">
        <v>11</v>
      </c>
      <c r="E32" s="576">
        <v>924300</v>
      </c>
      <c r="F32" s="583">
        <f t="shared" si="0"/>
        <v>10167300</v>
      </c>
    </row>
    <row r="33" spans="1:6" ht="21" customHeight="1" x14ac:dyDescent="0.3">
      <c r="A33" s="573">
        <v>27</v>
      </c>
      <c r="B33" s="574" t="s">
        <v>379</v>
      </c>
      <c r="C33" s="575">
        <v>2020</v>
      </c>
      <c r="D33" s="575">
        <v>10</v>
      </c>
      <c r="E33" s="576">
        <v>924300</v>
      </c>
      <c r="F33" s="583">
        <f t="shared" si="0"/>
        <v>9243000</v>
      </c>
    </row>
    <row r="34" spans="1:6" ht="21" customHeight="1" x14ac:dyDescent="0.3">
      <c r="A34" s="573">
        <v>28</v>
      </c>
      <c r="B34" s="574" t="s">
        <v>380</v>
      </c>
      <c r="C34" s="575">
        <v>2020</v>
      </c>
      <c r="D34" s="575">
        <v>11</v>
      </c>
      <c r="E34" s="576">
        <v>924300</v>
      </c>
      <c r="F34" s="583">
        <f t="shared" si="0"/>
        <v>10167300</v>
      </c>
    </row>
    <row r="35" spans="1:6" ht="21" customHeight="1" x14ac:dyDescent="0.3">
      <c r="A35" s="573">
        <v>29</v>
      </c>
      <c r="B35" s="574" t="s">
        <v>381</v>
      </c>
      <c r="C35" s="575">
        <v>2020</v>
      </c>
      <c r="D35" s="575">
        <v>11</v>
      </c>
      <c r="E35" s="576">
        <v>924300</v>
      </c>
      <c r="F35" s="583">
        <f t="shared" si="0"/>
        <v>10167300</v>
      </c>
    </row>
    <row r="36" spans="1:6" ht="21" customHeight="1" x14ac:dyDescent="0.3">
      <c r="A36" s="573">
        <v>30</v>
      </c>
      <c r="B36" s="574" t="s">
        <v>382</v>
      </c>
      <c r="C36" s="575">
        <v>2020</v>
      </c>
      <c r="D36" s="575">
        <v>11</v>
      </c>
      <c r="E36" s="576">
        <v>924300</v>
      </c>
      <c r="F36" s="583">
        <f t="shared" si="0"/>
        <v>10167300</v>
      </c>
    </row>
    <row r="37" spans="1:6" s="580" customFormat="1" ht="21" customHeight="1" x14ac:dyDescent="0.3">
      <c r="A37" s="573">
        <v>31</v>
      </c>
      <c r="B37" s="578" t="s">
        <v>383</v>
      </c>
      <c r="C37" s="579">
        <v>2020</v>
      </c>
      <c r="D37" s="575">
        <v>11</v>
      </c>
      <c r="E37" s="576">
        <v>924300</v>
      </c>
      <c r="F37" s="583">
        <f t="shared" si="0"/>
        <v>10167300</v>
      </c>
    </row>
    <row r="38" spans="1:6" ht="21" customHeight="1" x14ac:dyDescent="0.3">
      <c r="A38" s="573">
        <v>32</v>
      </c>
      <c r="B38" s="574" t="s">
        <v>384</v>
      </c>
      <c r="C38" s="575">
        <v>2021</v>
      </c>
      <c r="D38" s="575">
        <v>11</v>
      </c>
      <c r="E38" s="576">
        <v>924300</v>
      </c>
      <c r="F38" s="583">
        <f t="shared" si="0"/>
        <v>10167300</v>
      </c>
    </row>
    <row r="39" spans="1:6" ht="21" customHeight="1" x14ac:dyDescent="0.3">
      <c r="A39" s="573">
        <v>33</v>
      </c>
      <c r="B39" s="574" t="s">
        <v>385</v>
      </c>
      <c r="C39" s="575">
        <v>2021</v>
      </c>
      <c r="D39" s="575">
        <v>13</v>
      </c>
      <c r="E39" s="576">
        <v>924300</v>
      </c>
      <c r="F39" s="583">
        <f t="shared" si="0"/>
        <v>12015900</v>
      </c>
    </row>
    <row r="40" spans="1:6" ht="21" customHeight="1" x14ac:dyDescent="0.3">
      <c r="A40" s="573">
        <v>34</v>
      </c>
      <c r="B40" s="574" t="s">
        <v>386</v>
      </c>
      <c r="C40" s="575">
        <v>2021</v>
      </c>
      <c r="D40" s="575">
        <v>13</v>
      </c>
      <c r="E40" s="576">
        <v>924300</v>
      </c>
      <c r="F40" s="583">
        <f t="shared" si="0"/>
        <v>12015900</v>
      </c>
    </row>
    <row r="41" spans="1:6" ht="21" customHeight="1" x14ac:dyDescent="0.3">
      <c r="A41" s="573">
        <v>35</v>
      </c>
      <c r="B41" s="574" t="s">
        <v>387</v>
      </c>
      <c r="C41" s="577">
        <v>2021</v>
      </c>
      <c r="D41" s="575">
        <v>11</v>
      </c>
      <c r="E41" s="576">
        <v>924300</v>
      </c>
      <c r="F41" s="583">
        <f t="shared" si="0"/>
        <v>10167300</v>
      </c>
    </row>
  </sheetData>
  <mergeCells count="2">
    <mergeCell ref="A1:F2"/>
    <mergeCell ref="A3:F3"/>
  </mergeCells>
  <printOptions horizontalCentered="1"/>
  <pageMargins left="0" right="0.19685039370078741" top="0.43307086614173229" bottom="0.23622047244094491" header="0.19685039370078741" footer="0.15748031496062992"/>
  <pageSetup paperSize="9" scale="9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abSelected="1" topLeftCell="A7" zoomScale="90" zoomScaleNormal="90" workbookViewId="0">
      <selection activeCell="F13" sqref="F13"/>
    </sheetView>
  </sheetViews>
  <sheetFormatPr defaultRowHeight="18.75" x14ac:dyDescent="0.25"/>
  <cols>
    <col min="1" max="1" width="7.5703125" style="567" customWidth="1"/>
    <col min="2" max="2" width="30.5703125" style="567" customWidth="1"/>
    <col min="3" max="3" width="15.5703125" style="581" customWidth="1"/>
    <col min="4" max="4" width="24.5703125" style="581" customWidth="1"/>
    <col min="5" max="5" width="0.28515625" style="582" hidden="1" customWidth="1"/>
    <col min="6" max="6" width="23.42578125" style="582" customWidth="1"/>
    <col min="7" max="16384" width="9.140625" style="567"/>
  </cols>
  <sheetData>
    <row r="1" spans="1:6" ht="16.5" customHeight="1" x14ac:dyDescent="0.25">
      <c r="A1" s="594" t="s">
        <v>396</v>
      </c>
      <c r="B1" s="594"/>
      <c r="C1" s="594"/>
      <c r="D1" s="594"/>
      <c r="E1" s="594"/>
      <c r="F1" s="594"/>
    </row>
    <row r="2" spans="1:6" ht="26.25" customHeight="1" x14ac:dyDescent="0.25">
      <c r="A2" s="595"/>
      <c r="B2" s="595"/>
      <c r="C2" s="595"/>
      <c r="D2" s="595"/>
      <c r="E2" s="595"/>
      <c r="F2" s="595"/>
    </row>
    <row r="3" spans="1:6" s="568" customFormat="1" x14ac:dyDescent="0.25">
      <c r="A3" s="596" t="s">
        <v>393</v>
      </c>
      <c r="B3" s="596"/>
      <c r="C3" s="596"/>
      <c r="D3" s="596"/>
      <c r="E3" s="596"/>
      <c r="F3" s="596"/>
    </row>
    <row r="4" spans="1:6" s="568" customFormat="1" x14ac:dyDescent="0.25">
      <c r="A4" s="585"/>
      <c r="B4" s="585"/>
      <c r="C4" s="585"/>
      <c r="D4" s="585"/>
      <c r="E4" s="585"/>
      <c r="F4" s="585"/>
    </row>
    <row r="5" spans="1:6" s="568" customFormat="1" x14ac:dyDescent="0.25">
      <c r="A5" s="585"/>
      <c r="B5" s="585"/>
      <c r="C5" s="585"/>
      <c r="D5" s="585"/>
      <c r="E5" s="585"/>
      <c r="F5" s="584" t="s">
        <v>394</v>
      </c>
    </row>
    <row r="6" spans="1:6" s="572" customFormat="1" ht="71.25" customHeight="1" x14ac:dyDescent="0.25">
      <c r="A6" s="570" t="s">
        <v>354</v>
      </c>
      <c r="B6" s="570" t="s">
        <v>7</v>
      </c>
      <c r="C6" s="570" t="s">
        <v>392</v>
      </c>
      <c r="D6" s="570" t="s">
        <v>391</v>
      </c>
      <c r="E6" s="571" t="s">
        <v>389</v>
      </c>
      <c r="F6" s="571" t="s">
        <v>390</v>
      </c>
    </row>
    <row r="7" spans="1:6" ht="21" customHeight="1" x14ac:dyDescent="0.3">
      <c r="A7" s="573">
        <v>1</v>
      </c>
      <c r="B7" s="574" t="s">
        <v>362</v>
      </c>
      <c r="C7" s="575">
        <v>2018</v>
      </c>
      <c r="D7" s="575">
        <v>8</v>
      </c>
      <c r="E7" s="576">
        <v>924300</v>
      </c>
      <c r="F7" s="583">
        <f t="shared" ref="F7:F20" si="0">E7*D7</f>
        <v>7394400</v>
      </c>
    </row>
    <row r="8" spans="1:6" ht="21" customHeight="1" x14ac:dyDescent="0.3">
      <c r="A8" s="573">
        <v>2</v>
      </c>
      <c r="B8" s="574" t="s">
        <v>359</v>
      </c>
      <c r="C8" s="575">
        <v>2018</v>
      </c>
      <c r="D8" s="575">
        <v>9</v>
      </c>
      <c r="E8" s="576">
        <v>924300</v>
      </c>
      <c r="F8" s="583">
        <f t="shared" si="0"/>
        <v>8318700</v>
      </c>
    </row>
    <row r="9" spans="1:6" ht="21" customHeight="1" x14ac:dyDescent="0.3">
      <c r="A9" s="573">
        <v>3</v>
      </c>
      <c r="B9" s="574" t="s">
        <v>368</v>
      </c>
      <c r="C9" s="575">
        <v>2018</v>
      </c>
      <c r="D9" s="575">
        <v>10</v>
      </c>
      <c r="E9" s="576">
        <v>924300</v>
      </c>
      <c r="F9" s="583">
        <f t="shared" si="0"/>
        <v>9243000</v>
      </c>
    </row>
    <row r="10" spans="1:6" ht="21" customHeight="1" x14ac:dyDescent="0.3">
      <c r="A10" s="573">
        <v>4</v>
      </c>
      <c r="B10" s="574" t="s">
        <v>367</v>
      </c>
      <c r="C10" s="575">
        <v>2018</v>
      </c>
      <c r="D10" s="575">
        <v>10</v>
      </c>
      <c r="E10" s="576">
        <v>924300</v>
      </c>
      <c r="F10" s="583">
        <f t="shared" si="0"/>
        <v>9243000</v>
      </c>
    </row>
    <row r="11" spans="1:6" ht="21" customHeight="1" x14ac:dyDescent="0.3">
      <c r="A11" s="573">
        <v>5</v>
      </c>
      <c r="B11" s="574" t="s">
        <v>366</v>
      </c>
      <c r="C11" s="575">
        <v>2018</v>
      </c>
      <c r="D11" s="575">
        <v>10</v>
      </c>
      <c r="E11" s="576">
        <v>924300</v>
      </c>
      <c r="F11" s="583">
        <f t="shared" si="0"/>
        <v>9243000</v>
      </c>
    </row>
    <row r="12" spans="1:6" ht="21" customHeight="1" x14ac:dyDescent="0.3">
      <c r="A12" s="573"/>
      <c r="B12" s="574" t="s">
        <v>363</v>
      </c>
      <c r="C12" s="575">
        <v>2018</v>
      </c>
      <c r="D12" s="575">
        <v>10</v>
      </c>
      <c r="E12" s="576">
        <v>794300</v>
      </c>
      <c r="F12" s="583">
        <f t="shared" si="0"/>
        <v>7943000</v>
      </c>
    </row>
    <row r="13" spans="1:6" ht="21" customHeight="1" x14ac:dyDescent="0.3">
      <c r="A13" s="573"/>
      <c r="B13" s="574" t="s">
        <v>356</v>
      </c>
      <c r="C13" s="575">
        <v>2017</v>
      </c>
      <c r="D13" s="575">
        <v>11</v>
      </c>
      <c r="E13" s="576">
        <v>924300</v>
      </c>
      <c r="F13" s="583">
        <f t="shared" si="0"/>
        <v>10167300</v>
      </c>
    </row>
    <row r="14" spans="1:6" ht="21" customHeight="1" x14ac:dyDescent="0.3">
      <c r="A14" s="573"/>
      <c r="B14" s="574" t="s">
        <v>357</v>
      </c>
      <c r="C14" s="575">
        <v>2018</v>
      </c>
      <c r="D14" s="575">
        <v>11</v>
      </c>
      <c r="E14" s="576">
        <v>924300</v>
      </c>
      <c r="F14" s="583">
        <f t="shared" si="0"/>
        <v>10167300</v>
      </c>
    </row>
    <row r="15" spans="1:6" ht="21" customHeight="1" x14ac:dyDescent="0.3">
      <c r="A15" s="573"/>
      <c r="B15" s="574" t="s">
        <v>364</v>
      </c>
      <c r="C15" s="575">
        <v>2018</v>
      </c>
      <c r="D15" s="575">
        <v>11</v>
      </c>
      <c r="E15" s="576">
        <v>924300</v>
      </c>
      <c r="F15" s="583">
        <f t="shared" si="0"/>
        <v>10167300</v>
      </c>
    </row>
    <row r="16" spans="1:6" ht="21" customHeight="1" x14ac:dyDescent="0.3">
      <c r="A16" s="573"/>
      <c r="B16" s="574" t="s">
        <v>365</v>
      </c>
      <c r="C16" s="575">
        <v>2018</v>
      </c>
      <c r="D16" s="575">
        <v>11</v>
      </c>
      <c r="E16" s="576">
        <v>924300</v>
      </c>
      <c r="F16" s="583">
        <f t="shared" si="0"/>
        <v>10167300</v>
      </c>
    </row>
    <row r="17" spans="1:6" ht="21" customHeight="1" x14ac:dyDescent="0.3">
      <c r="A17" s="573"/>
      <c r="B17" s="574" t="s">
        <v>358</v>
      </c>
      <c r="C17" s="575">
        <v>2018</v>
      </c>
      <c r="D17" s="575">
        <v>11</v>
      </c>
      <c r="E17" s="576">
        <v>924300</v>
      </c>
      <c r="F17" s="583">
        <f t="shared" si="0"/>
        <v>10167300</v>
      </c>
    </row>
    <row r="18" spans="1:6" ht="21" customHeight="1" x14ac:dyDescent="0.3">
      <c r="A18" s="573"/>
      <c r="B18" s="574" t="s">
        <v>388</v>
      </c>
      <c r="C18" s="575">
        <v>2018</v>
      </c>
      <c r="D18" s="575">
        <v>11</v>
      </c>
      <c r="E18" s="576">
        <v>924300</v>
      </c>
      <c r="F18" s="583">
        <f t="shared" si="0"/>
        <v>10167300</v>
      </c>
    </row>
    <row r="19" spans="1:6" ht="21" customHeight="1" x14ac:dyDescent="0.3">
      <c r="A19" s="573"/>
      <c r="B19" s="574" t="s">
        <v>360</v>
      </c>
      <c r="C19" s="575">
        <v>2018</v>
      </c>
      <c r="D19" s="575">
        <v>11</v>
      </c>
      <c r="E19" s="576">
        <v>924300</v>
      </c>
      <c r="F19" s="583">
        <f t="shared" si="0"/>
        <v>10167300</v>
      </c>
    </row>
    <row r="20" spans="1:6" ht="21" customHeight="1" x14ac:dyDescent="0.3">
      <c r="A20" s="573"/>
      <c r="B20" s="574" t="s">
        <v>361</v>
      </c>
      <c r="C20" s="575">
        <v>2018</v>
      </c>
      <c r="D20" s="575">
        <v>11</v>
      </c>
      <c r="E20" s="576">
        <v>924300</v>
      </c>
      <c r="F20" s="583">
        <f t="shared" si="0"/>
        <v>10167300</v>
      </c>
    </row>
    <row r="21" spans="1:6" ht="21" customHeight="1" x14ac:dyDescent="0.3">
      <c r="A21" s="573"/>
      <c r="B21" s="574" t="s">
        <v>355</v>
      </c>
      <c r="C21" s="575">
        <v>2017</v>
      </c>
      <c r="D21" s="575">
        <v>13</v>
      </c>
      <c r="E21" s="576">
        <v>924300</v>
      </c>
      <c r="F21" s="583">
        <f t="shared" ref="F21" si="1">E21*D21</f>
        <v>12015900</v>
      </c>
    </row>
  </sheetData>
  <mergeCells count="2">
    <mergeCell ref="A1:F2"/>
    <mergeCell ref="A3:F3"/>
  </mergeCells>
  <printOptions horizontalCentered="1"/>
  <pageMargins left="0" right="0.19685039370078741" top="0.43307086614173229" bottom="0.23622047244094491" header="0.19685039370078741" footer="0.15748031496062992"/>
  <pageSetup paperSize="9"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G43"/>
  <sheetViews>
    <sheetView workbookViewId="0">
      <selection activeCell="M11" sqref="M11"/>
    </sheetView>
  </sheetViews>
  <sheetFormatPr defaultRowHeight="15" x14ac:dyDescent="0.25"/>
  <cols>
    <col min="1" max="1" width="4.42578125" customWidth="1"/>
    <col min="2" max="2" width="14.140625" customWidth="1"/>
    <col min="3" max="3" width="6.140625" customWidth="1"/>
    <col min="4" max="4" width="4" hidden="1" customWidth="1"/>
    <col min="5" max="5" width="7.5703125" hidden="1" customWidth="1"/>
    <col min="6" max="6" width="5.140625" hidden="1" customWidth="1"/>
    <col min="7" max="7" width="14.28515625" customWidth="1"/>
    <col min="8" max="8" width="10.5703125" customWidth="1"/>
    <col min="9" max="9" width="6.140625" bestFit="1" customWidth="1"/>
    <col min="10" max="11" width="6.5703125" hidden="1" customWidth="1"/>
    <col min="12" max="12" width="7.140625" customWidth="1"/>
    <col min="13" max="13" width="10.28515625" customWidth="1"/>
    <col min="14" max="14" width="5.85546875" customWidth="1"/>
    <col min="15" max="15" width="9.85546875" customWidth="1"/>
    <col min="16" max="16" width="4.42578125" customWidth="1"/>
    <col min="17" max="17" width="6" customWidth="1"/>
    <col min="18" max="18" width="12.28515625" customWidth="1"/>
    <col min="19" max="19" width="4.5703125" style="11" customWidth="1"/>
    <col min="20" max="20" width="7.28515625" customWidth="1"/>
    <col min="21" max="21" width="9.5703125" customWidth="1"/>
    <col min="22" max="22" width="6.42578125" customWidth="1"/>
    <col min="23" max="23" width="6.7109375" customWidth="1"/>
    <col min="24" max="24" width="10.5703125" customWidth="1"/>
    <col min="25" max="25" width="5" customWidth="1"/>
    <col min="26" max="26" width="6.42578125" customWidth="1"/>
    <col min="27" max="27" width="9.42578125" customWidth="1"/>
    <col min="28" max="28" width="10.42578125" customWidth="1"/>
    <col min="29" max="29" width="11.140625" style="223" customWidth="1"/>
    <col min="30" max="30" width="11.140625" customWidth="1"/>
    <col min="31" max="31" width="8.28515625" customWidth="1"/>
    <col min="32" max="32" width="12.140625" customWidth="1"/>
    <col min="33" max="33" width="13.140625" customWidth="1"/>
  </cols>
  <sheetData>
    <row r="1" spans="1:33" s="1" customFormat="1" x14ac:dyDescent="0.25">
      <c r="A1" s="630" t="s">
        <v>0</v>
      </c>
      <c r="B1" s="630"/>
      <c r="C1" s="630"/>
      <c r="D1" s="630"/>
      <c r="E1" s="630"/>
      <c r="F1" s="630"/>
      <c r="G1" s="630"/>
      <c r="H1" s="630"/>
      <c r="I1" s="630"/>
      <c r="J1" s="630"/>
      <c r="K1" s="630"/>
      <c r="L1" s="630"/>
      <c r="M1" s="630"/>
      <c r="N1" s="631" t="s">
        <v>1</v>
      </c>
      <c r="O1" s="631"/>
      <c r="P1" s="631"/>
      <c r="Q1" s="631"/>
      <c r="R1" s="631"/>
      <c r="S1" s="631"/>
      <c r="T1" s="631"/>
      <c r="U1" s="631"/>
      <c r="V1" s="631"/>
      <c r="W1" s="631"/>
      <c r="X1" s="631"/>
      <c r="Y1" s="631"/>
      <c r="Z1" s="631"/>
      <c r="AA1" s="631"/>
      <c r="AB1" s="631"/>
      <c r="AC1" s="631"/>
      <c r="AD1" s="631"/>
      <c r="AE1" s="631"/>
      <c r="AF1" s="631"/>
    </row>
    <row r="2" spans="1:33" s="1" customFormat="1" x14ac:dyDescent="0.25">
      <c r="A2" s="631" t="s">
        <v>2</v>
      </c>
      <c r="B2" s="631"/>
      <c r="C2" s="631"/>
      <c r="D2" s="631"/>
      <c r="E2" s="631"/>
      <c r="F2" s="631"/>
      <c r="G2" s="631"/>
      <c r="H2" s="631"/>
      <c r="I2" s="631"/>
      <c r="J2" s="631"/>
      <c r="K2" s="631"/>
      <c r="L2" s="631"/>
      <c r="M2" s="631"/>
      <c r="N2" s="632" t="s">
        <v>3</v>
      </c>
      <c r="O2" s="632"/>
      <c r="P2" s="632"/>
      <c r="Q2" s="632"/>
      <c r="R2" s="632"/>
      <c r="S2" s="632"/>
      <c r="T2" s="632"/>
      <c r="U2" s="632"/>
      <c r="V2" s="632"/>
      <c r="W2" s="632"/>
      <c r="X2" s="632"/>
      <c r="Y2" s="632"/>
      <c r="Z2" s="632"/>
      <c r="AA2" s="632"/>
      <c r="AB2" s="632"/>
      <c r="AC2" s="632"/>
      <c r="AD2" s="632"/>
      <c r="AE2" s="632"/>
      <c r="AF2" s="632"/>
    </row>
    <row r="3" spans="1:33" s="1" customFormat="1" ht="34.5" customHeight="1" x14ac:dyDescent="0.3">
      <c r="A3" s="633" t="s">
        <v>336</v>
      </c>
      <c r="B3" s="633"/>
      <c r="C3" s="633"/>
      <c r="D3" s="633"/>
      <c r="E3" s="633"/>
      <c r="F3" s="633"/>
      <c r="G3" s="633"/>
      <c r="H3" s="633"/>
      <c r="I3" s="633"/>
      <c r="J3" s="633"/>
      <c r="K3" s="633"/>
      <c r="L3" s="633"/>
      <c r="M3" s="633"/>
      <c r="N3" s="633"/>
      <c r="O3" s="633"/>
      <c r="P3" s="633"/>
      <c r="Q3" s="633"/>
      <c r="R3" s="633"/>
      <c r="S3" s="633"/>
      <c r="T3" s="633"/>
      <c r="U3" s="633"/>
      <c r="V3" s="633"/>
      <c r="W3" s="633"/>
      <c r="X3" s="633"/>
      <c r="Y3" s="633"/>
      <c r="Z3" s="633"/>
      <c r="AA3" s="633"/>
      <c r="AB3" s="633"/>
      <c r="AC3" s="633"/>
      <c r="AD3" s="633"/>
      <c r="AE3" s="633"/>
      <c r="AF3" s="633"/>
    </row>
    <row r="4" spans="1:33" s="82" customFormat="1" ht="34.5" customHeight="1" x14ac:dyDescent="0.25">
      <c r="A4" s="212" t="s">
        <v>148</v>
      </c>
      <c r="D4" s="8">
        <v>1490000</v>
      </c>
      <c r="E4" s="81" t="s">
        <v>4</v>
      </c>
      <c r="M4" s="83"/>
      <c r="N4" s="83"/>
      <c r="O4" s="83"/>
      <c r="P4" s="83"/>
      <c r="Q4" s="83"/>
      <c r="R4" s="83"/>
      <c r="S4" s="84"/>
      <c r="T4" s="85"/>
      <c r="U4" s="85"/>
      <c r="V4" s="85"/>
      <c r="W4" s="85"/>
      <c r="X4" s="85"/>
      <c r="Y4" s="85"/>
      <c r="Z4" s="85"/>
      <c r="AA4" s="85"/>
      <c r="AB4" s="85"/>
      <c r="AC4" s="221" t="s">
        <v>5</v>
      </c>
      <c r="AD4" s="85"/>
    </row>
    <row r="5" spans="1:33" s="82" customFormat="1" ht="15" customHeight="1" x14ac:dyDescent="0.2">
      <c r="A5" s="634" t="s">
        <v>6</v>
      </c>
      <c r="B5" s="635" t="s">
        <v>82</v>
      </c>
      <c r="C5" s="636"/>
      <c r="D5" s="641" t="s">
        <v>8</v>
      </c>
      <c r="E5" s="641"/>
      <c r="F5" s="642" t="s">
        <v>9</v>
      </c>
      <c r="G5" s="643" t="s">
        <v>164</v>
      </c>
      <c r="H5" s="634" t="s">
        <v>10</v>
      </c>
      <c r="I5" s="647" t="s">
        <v>83</v>
      </c>
      <c r="J5" s="634" t="s">
        <v>84</v>
      </c>
      <c r="K5" s="634"/>
      <c r="L5" s="634"/>
      <c r="M5" s="634"/>
      <c r="N5" s="659" t="s">
        <v>85</v>
      </c>
      <c r="O5" s="659"/>
      <c r="P5" s="659"/>
      <c r="Q5" s="659"/>
      <c r="R5" s="659"/>
      <c r="S5" s="659"/>
      <c r="T5" s="659"/>
      <c r="U5" s="659"/>
      <c r="V5" s="659"/>
      <c r="W5" s="659"/>
      <c r="X5" s="659"/>
      <c r="Y5" s="659"/>
      <c r="Z5" s="659"/>
      <c r="AA5" s="659"/>
      <c r="AB5" s="650" t="s">
        <v>313</v>
      </c>
      <c r="AC5" s="659" t="s">
        <v>87</v>
      </c>
      <c r="AD5" s="659"/>
      <c r="AE5" s="659"/>
      <c r="AF5" s="646" t="s">
        <v>88</v>
      </c>
      <c r="AG5" s="655" t="s">
        <v>299</v>
      </c>
    </row>
    <row r="6" spans="1:33" s="82" customFormat="1" ht="15" customHeight="1" x14ac:dyDescent="0.2">
      <c r="A6" s="634"/>
      <c r="B6" s="637"/>
      <c r="C6" s="638"/>
      <c r="D6" s="641"/>
      <c r="E6" s="641"/>
      <c r="F6" s="642"/>
      <c r="G6" s="644"/>
      <c r="H6" s="634"/>
      <c r="I6" s="658"/>
      <c r="J6" s="647" t="s">
        <v>12</v>
      </c>
      <c r="K6" s="321"/>
      <c r="L6" s="649" t="s">
        <v>13</v>
      </c>
      <c r="M6" s="650" t="s">
        <v>89</v>
      </c>
      <c r="N6" s="618" t="s">
        <v>90</v>
      </c>
      <c r="O6" s="618"/>
      <c r="P6" s="618" t="s">
        <v>91</v>
      </c>
      <c r="Q6" s="618"/>
      <c r="R6" s="618"/>
      <c r="S6" s="618" t="s">
        <v>92</v>
      </c>
      <c r="T6" s="618"/>
      <c r="U6" s="618"/>
      <c r="V6" s="619" t="s">
        <v>107</v>
      </c>
      <c r="W6" s="619"/>
      <c r="X6" s="619"/>
      <c r="Y6" s="653" t="s">
        <v>93</v>
      </c>
      <c r="Z6" s="653"/>
      <c r="AA6" s="653"/>
      <c r="AB6" s="650"/>
      <c r="AC6" s="654" t="s">
        <v>94</v>
      </c>
      <c r="AD6" s="660" t="s">
        <v>95</v>
      </c>
      <c r="AE6" s="660" t="s">
        <v>96</v>
      </c>
      <c r="AF6" s="646"/>
      <c r="AG6" s="656"/>
    </row>
    <row r="7" spans="1:33" s="82" customFormat="1" ht="36.75" customHeight="1" x14ac:dyDescent="0.2">
      <c r="A7" s="634"/>
      <c r="B7" s="639"/>
      <c r="C7" s="640"/>
      <c r="D7" s="86" t="s">
        <v>17</v>
      </c>
      <c r="E7" s="86" t="s">
        <v>18</v>
      </c>
      <c r="F7" s="642"/>
      <c r="G7" s="645"/>
      <c r="H7" s="634"/>
      <c r="I7" s="648"/>
      <c r="J7" s="648"/>
      <c r="K7" s="322"/>
      <c r="L7" s="649"/>
      <c r="M7" s="650"/>
      <c r="N7" s="47" t="s">
        <v>97</v>
      </c>
      <c r="O7" s="323" t="s">
        <v>98</v>
      </c>
      <c r="P7" s="323" t="s">
        <v>99</v>
      </c>
      <c r="Q7" s="327" t="s">
        <v>13</v>
      </c>
      <c r="R7" s="323" t="s">
        <v>98</v>
      </c>
      <c r="S7" s="326" t="s">
        <v>99</v>
      </c>
      <c r="T7" s="323" t="s">
        <v>13</v>
      </c>
      <c r="U7" s="323" t="s">
        <v>98</v>
      </c>
      <c r="V7" s="326" t="s">
        <v>100</v>
      </c>
      <c r="W7" s="48" t="s">
        <v>13</v>
      </c>
      <c r="X7" s="323" t="s">
        <v>98</v>
      </c>
      <c r="Y7" s="326" t="s">
        <v>100</v>
      </c>
      <c r="Z7" s="48" t="s">
        <v>13</v>
      </c>
      <c r="AA7" s="323" t="s">
        <v>98</v>
      </c>
      <c r="AB7" s="650"/>
      <c r="AC7" s="654"/>
      <c r="AD7" s="660"/>
      <c r="AE7" s="660"/>
      <c r="AF7" s="646"/>
      <c r="AG7" s="657"/>
    </row>
    <row r="8" spans="1:33" s="241" customFormat="1" ht="16.5" customHeight="1" x14ac:dyDescent="0.15">
      <c r="A8" s="232" t="s">
        <v>101</v>
      </c>
      <c r="B8" s="623" t="s">
        <v>102</v>
      </c>
      <c r="C8" s="624"/>
      <c r="D8" s="233" t="s">
        <v>103</v>
      </c>
      <c r="E8" s="233" t="s">
        <v>104</v>
      </c>
      <c r="F8" s="233" t="s">
        <v>133</v>
      </c>
      <c r="G8" s="233"/>
      <c r="H8" s="232" t="s">
        <v>103</v>
      </c>
      <c r="I8" s="234" t="s">
        <v>134</v>
      </c>
      <c r="J8" s="234" t="s">
        <v>135</v>
      </c>
      <c r="K8" s="234"/>
      <c r="L8" s="232">
        <v>1</v>
      </c>
      <c r="M8" s="235" t="s">
        <v>105</v>
      </c>
      <c r="N8" s="235">
        <v>3</v>
      </c>
      <c r="O8" s="235" t="s">
        <v>106</v>
      </c>
      <c r="P8" s="236">
        <v>5</v>
      </c>
      <c r="Q8" s="236">
        <v>6</v>
      </c>
      <c r="R8" s="235" t="s">
        <v>136</v>
      </c>
      <c r="S8" s="236">
        <v>8</v>
      </c>
      <c r="T8" s="235" t="s">
        <v>137</v>
      </c>
      <c r="U8" s="235" t="s">
        <v>138</v>
      </c>
      <c r="V8" s="235">
        <v>11</v>
      </c>
      <c r="W8" s="237" t="s">
        <v>139</v>
      </c>
      <c r="X8" s="235" t="s">
        <v>140</v>
      </c>
      <c r="Y8" s="238">
        <v>14</v>
      </c>
      <c r="Z8" s="239" t="s">
        <v>141</v>
      </c>
      <c r="AA8" s="235" t="s">
        <v>142</v>
      </c>
      <c r="AB8" s="235" t="s">
        <v>143</v>
      </c>
      <c r="AC8" s="240" t="s">
        <v>144</v>
      </c>
      <c r="AD8" s="235" t="s">
        <v>145</v>
      </c>
      <c r="AE8" s="235" t="s">
        <v>146</v>
      </c>
      <c r="AF8" s="235" t="s">
        <v>147</v>
      </c>
      <c r="AG8" s="233">
        <v>22</v>
      </c>
    </row>
    <row r="9" spans="1:33" s="505" customFormat="1" ht="28.5" customHeight="1" x14ac:dyDescent="0.2">
      <c r="A9" s="425">
        <f>IF(B9&lt;&gt;"",COUNTA($B$9:B9),"")</f>
        <v>1</v>
      </c>
      <c r="B9" s="426" t="s">
        <v>239</v>
      </c>
      <c r="C9" s="427" t="s">
        <v>240</v>
      </c>
      <c r="D9" s="425">
        <v>1964</v>
      </c>
      <c r="E9" s="425"/>
      <c r="F9" s="425">
        <v>1986</v>
      </c>
      <c r="G9" s="441">
        <v>5700205047874</v>
      </c>
      <c r="H9" s="429" t="s">
        <v>46</v>
      </c>
      <c r="I9" s="430" t="s">
        <v>43</v>
      </c>
      <c r="J9" s="430" t="s">
        <v>44</v>
      </c>
      <c r="K9" s="430"/>
      <c r="L9" s="431">
        <f>4.98*0</f>
        <v>0</v>
      </c>
      <c r="M9" s="432">
        <f>ROUND(L9*1490000,0)*0</f>
        <v>0</v>
      </c>
      <c r="N9" s="431"/>
      <c r="O9" s="433">
        <f t="shared" ref="O9" si="0">ROUND(N9*1490000,0)</f>
        <v>0</v>
      </c>
      <c r="P9" s="434"/>
      <c r="Q9" s="435"/>
      <c r="R9" s="433">
        <f t="shared" ref="R9" si="1">ROUND(Q9*1490000,0)</f>
        <v>0</v>
      </c>
      <c r="S9" s="434">
        <v>0.01</v>
      </c>
      <c r="T9" s="435">
        <f>S9*4.98</f>
        <v>4.9800000000000004E-2</v>
      </c>
      <c r="U9" s="433">
        <f>T9*1490000*0</f>
        <v>0</v>
      </c>
      <c r="V9" s="434">
        <v>0.25</v>
      </c>
      <c r="W9" s="502">
        <f>(L9+N9+T9)*V9</f>
        <v>1.2450000000000001E-2</v>
      </c>
      <c r="X9" s="432">
        <f>ROUND(W9*1490000,0)*0</f>
        <v>0</v>
      </c>
      <c r="Y9" s="432"/>
      <c r="Z9" s="436"/>
      <c r="AA9" s="433">
        <f t="shared" ref="AA9" si="2">ROUND(Z9*1490000,0)</f>
        <v>0</v>
      </c>
      <c r="AB9" s="437">
        <f>M9+O9+R9+U9+X9+AA9</f>
        <v>0</v>
      </c>
      <c r="AC9" s="437">
        <f>ROUND((M9+O9+U9+AA9)*1.5%,0)</f>
        <v>0</v>
      </c>
      <c r="AD9" s="438">
        <f t="shared" ref="AD9" si="3">ROUND((M9+O9+U9+AA9)*8%,0)</f>
        <v>0</v>
      </c>
      <c r="AE9" s="438">
        <f t="shared" ref="AE9" si="4">AC9+AD9</f>
        <v>0</v>
      </c>
      <c r="AF9" s="438">
        <f>AB9-AE9</f>
        <v>0</v>
      </c>
      <c r="AG9" s="507" t="s">
        <v>338</v>
      </c>
    </row>
    <row r="10" spans="1:33" s="439" customFormat="1" ht="26.25" customHeight="1" x14ac:dyDescent="0.2">
      <c r="A10" s="425">
        <v>2</v>
      </c>
      <c r="B10" s="426" t="s">
        <v>243</v>
      </c>
      <c r="C10" s="427" t="s">
        <v>244</v>
      </c>
      <c r="D10" s="425"/>
      <c r="E10" s="425">
        <v>1974</v>
      </c>
      <c r="F10" s="425">
        <v>2000</v>
      </c>
      <c r="G10" s="441">
        <v>5700205047924</v>
      </c>
      <c r="H10" s="429" t="s">
        <v>46</v>
      </c>
      <c r="I10" s="430" t="s">
        <v>43</v>
      </c>
      <c r="J10" s="430" t="s">
        <v>51</v>
      </c>
      <c r="K10" s="430"/>
      <c r="L10" s="431">
        <v>0.33</v>
      </c>
      <c r="M10" s="432">
        <f>ROUND(L10*1490000,0)*0</f>
        <v>0</v>
      </c>
      <c r="N10" s="431"/>
      <c r="O10" s="433">
        <f t="shared" ref="O10" si="5">ROUND(N10*1490000,0)</f>
        <v>0</v>
      </c>
      <c r="P10" s="434"/>
      <c r="Q10" s="435"/>
      <c r="R10" s="433">
        <f t="shared" ref="R10" si="6">ROUND(Q10*1490000,0)</f>
        <v>0</v>
      </c>
      <c r="S10" s="434"/>
      <c r="T10" s="435"/>
      <c r="U10" s="433">
        <f t="shared" ref="U10" si="7">T10*1490000</f>
        <v>0</v>
      </c>
      <c r="V10" s="434">
        <v>0.25</v>
      </c>
      <c r="W10" s="502">
        <f t="shared" ref="W10" si="8">(L10+N10+T10)*V10</f>
        <v>8.2500000000000004E-2</v>
      </c>
      <c r="X10" s="369">
        <f>ROUND(W10*1490000,0)*0</f>
        <v>0</v>
      </c>
      <c r="Y10" s="432"/>
      <c r="Z10" s="436"/>
      <c r="AA10" s="433">
        <f t="shared" ref="AA10" si="9">ROUND(Z10*1490000,0)</f>
        <v>0</v>
      </c>
      <c r="AB10" s="437">
        <f t="shared" ref="AB10" si="10">M10+O10+R10+U10+X10+AA10</f>
        <v>0</v>
      </c>
      <c r="AC10" s="437">
        <f t="shared" ref="AC10" si="11">ROUND((M10+O10+U10+AA10)*1.5%,0)</f>
        <v>0</v>
      </c>
      <c r="AD10" s="438">
        <f t="shared" ref="AD10" si="12">ROUND((M10+O10+U10+AA10)*8%,0)</f>
        <v>0</v>
      </c>
      <c r="AE10" s="438">
        <f t="shared" ref="AE10" si="13">AC10+AD10</f>
        <v>0</v>
      </c>
      <c r="AF10" s="438">
        <f t="shared" ref="AF10" si="14">AB10-AE10</f>
        <v>0</v>
      </c>
      <c r="AG10" s="454" t="s">
        <v>337</v>
      </c>
    </row>
    <row r="11" spans="1:33" s="309" customFormat="1" ht="25.5" customHeight="1" x14ac:dyDescent="0.25">
      <c r="A11" s="308"/>
      <c r="B11" s="625" t="s">
        <v>72</v>
      </c>
      <c r="C11" s="626"/>
      <c r="D11" s="308"/>
      <c r="E11" s="308"/>
      <c r="F11" s="308"/>
      <c r="G11" s="308"/>
      <c r="H11" s="308"/>
      <c r="I11" s="308"/>
      <c r="J11" s="308"/>
      <c r="K11" s="308"/>
      <c r="L11" s="305">
        <f>SUM(L9:L10)</f>
        <v>0.33</v>
      </c>
      <c r="M11" s="443">
        <f t="shared" ref="M11:AF11" si="15">SUM(M9:M10)</f>
        <v>0</v>
      </c>
      <c r="N11" s="305">
        <f t="shared" si="15"/>
        <v>0</v>
      </c>
      <c r="O11" s="305">
        <f t="shared" si="15"/>
        <v>0</v>
      </c>
      <c r="P11" s="305">
        <f t="shared" si="15"/>
        <v>0</v>
      </c>
      <c r="Q11" s="305">
        <f t="shared" si="15"/>
        <v>0</v>
      </c>
      <c r="R11" s="305">
        <f t="shared" si="15"/>
        <v>0</v>
      </c>
      <c r="S11" s="506"/>
      <c r="T11" s="444">
        <f t="shared" si="15"/>
        <v>4.9800000000000004E-2</v>
      </c>
      <c r="U11" s="443">
        <f t="shared" si="15"/>
        <v>0</v>
      </c>
      <c r="V11" s="305"/>
      <c r="W11" s="444">
        <f t="shared" si="15"/>
        <v>9.4950000000000007E-2</v>
      </c>
      <c r="X11" s="443">
        <f t="shared" si="15"/>
        <v>0</v>
      </c>
      <c r="Y11" s="305">
        <f t="shared" si="15"/>
        <v>0</v>
      </c>
      <c r="Z11" s="305">
        <f t="shared" si="15"/>
        <v>0</v>
      </c>
      <c r="AA11" s="305">
        <f t="shared" si="15"/>
        <v>0</v>
      </c>
      <c r="AB11" s="443">
        <f t="shared" si="15"/>
        <v>0</v>
      </c>
      <c r="AC11" s="443">
        <f t="shared" si="15"/>
        <v>0</v>
      </c>
      <c r="AD11" s="443">
        <f t="shared" si="15"/>
        <v>0</v>
      </c>
      <c r="AE11" s="443">
        <f t="shared" si="15"/>
        <v>0</v>
      </c>
      <c r="AF11" s="453">
        <f t="shared" si="15"/>
        <v>0</v>
      </c>
      <c r="AG11" s="424"/>
    </row>
    <row r="12" spans="1:33" s="251" customFormat="1" ht="12.75" x14ac:dyDescent="0.25">
      <c r="A12" s="265"/>
      <c r="B12" s="265"/>
      <c r="C12" s="265"/>
      <c r="D12" s="265"/>
      <c r="E12" s="265"/>
      <c r="F12" s="265"/>
      <c r="G12" s="265"/>
      <c r="H12" s="265"/>
      <c r="I12" s="265"/>
      <c r="J12" s="265"/>
      <c r="K12" s="265"/>
      <c r="L12" s="266"/>
      <c r="M12" s="267"/>
      <c r="N12" s="268"/>
      <c r="O12" s="267"/>
      <c r="P12" s="268"/>
      <c r="Q12" s="268"/>
      <c r="R12" s="267"/>
      <c r="S12" s="268"/>
      <c r="T12" s="268"/>
      <c r="U12" s="267"/>
      <c r="V12" s="267"/>
      <c r="W12" s="267"/>
      <c r="X12" s="267"/>
      <c r="Y12" s="269"/>
      <c r="Z12" s="267"/>
      <c r="AA12" s="267"/>
      <c r="AB12" s="267"/>
      <c r="AC12" s="267"/>
      <c r="AD12" s="267"/>
      <c r="AE12" s="270"/>
      <c r="AF12" s="271"/>
    </row>
    <row r="13" spans="1:33" s="251" customFormat="1" ht="12.75" x14ac:dyDescent="0.25">
      <c r="A13" s="265"/>
      <c r="B13" s="265"/>
      <c r="C13" s="265"/>
      <c r="D13" s="265"/>
      <c r="E13" s="265"/>
      <c r="F13" s="265"/>
      <c r="G13" s="265"/>
      <c r="H13" s="265"/>
      <c r="I13" s="265"/>
      <c r="J13" s="265"/>
      <c r="K13" s="265"/>
      <c r="L13" s="266"/>
      <c r="M13" s="267"/>
      <c r="N13" s="268"/>
      <c r="O13" s="267"/>
      <c r="P13" s="268"/>
      <c r="Q13" s="268"/>
      <c r="R13" s="267"/>
      <c r="S13" s="268"/>
      <c r="T13" s="268"/>
      <c r="U13" s="267"/>
      <c r="V13" s="267"/>
      <c r="W13" s="267"/>
      <c r="X13" s="267"/>
      <c r="Y13" s="269"/>
      <c r="Z13" s="267"/>
      <c r="AA13" s="267"/>
      <c r="AB13" s="267"/>
      <c r="AC13" s="267"/>
      <c r="AD13" s="267"/>
      <c r="AE13" s="270"/>
      <c r="AF13" s="271"/>
    </row>
    <row r="14" spans="1:33" s="251" customFormat="1" ht="12.75" x14ac:dyDescent="0.25">
      <c r="A14" s="265"/>
      <c r="B14" s="265"/>
      <c r="C14" s="265"/>
      <c r="D14" s="265"/>
      <c r="E14" s="265"/>
      <c r="F14" s="265"/>
      <c r="G14" s="265"/>
      <c r="H14" s="265"/>
      <c r="I14" s="265"/>
      <c r="J14" s="265"/>
      <c r="K14" s="265"/>
      <c r="L14" s="266"/>
      <c r="M14" s="267"/>
      <c r="N14" s="268"/>
      <c r="O14" s="267"/>
      <c r="P14" s="268"/>
      <c r="Q14" s="268"/>
      <c r="R14" s="267"/>
      <c r="S14" s="268"/>
      <c r="T14" s="268"/>
      <c r="U14" s="267"/>
      <c r="V14" s="267"/>
      <c r="W14" s="267"/>
      <c r="X14" s="267"/>
      <c r="Y14" s="269"/>
      <c r="Z14" s="267"/>
      <c r="AA14" s="267"/>
      <c r="AB14" s="267"/>
      <c r="AC14" s="267"/>
      <c r="AD14" s="267"/>
      <c r="AE14" s="270"/>
      <c r="AF14" s="271"/>
    </row>
    <row r="15" spans="1:33" s="1" customFormat="1" x14ac:dyDescent="0.25">
      <c r="A15" s="224"/>
      <c r="B15" s="224"/>
      <c r="C15" s="224"/>
      <c r="D15" s="225"/>
      <c r="E15" s="225"/>
      <c r="F15" s="225"/>
      <c r="G15" s="225"/>
      <c r="H15" s="225"/>
      <c r="I15" s="225"/>
      <c r="J15" s="225"/>
      <c r="K15" s="225"/>
      <c r="L15" s="226"/>
      <c r="M15" s="226"/>
      <c r="N15" s="226"/>
      <c r="O15" s="226"/>
      <c r="P15" s="226"/>
      <c r="Q15" s="226"/>
      <c r="R15" s="226"/>
      <c r="S15" s="226"/>
      <c r="T15" s="226"/>
      <c r="U15" s="226"/>
      <c r="V15" s="226"/>
      <c r="W15" s="226"/>
      <c r="X15" s="226"/>
      <c r="Y15" s="226"/>
      <c r="Z15" s="226"/>
      <c r="AA15" s="226"/>
      <c r="AB15" s="226"/>
      <c r="AC15" s="227"/>
      <c r="AD15" s="226"/>
      <c r="AE15" s="226"/>
      <c r="AF15" s="226"/>
    </row>
    <row r="16" spans="1:33" s="1" customFormat="1" x14ac:dyDescent="0.25">
      <c r="A16" s="224"/>
      <c r="B16" s="224"/>
      <c r="C16" s="224"/>
      <c r="D16" s="225"/>
      <c r="E16" s="225"/>
      <c r="F16" s="225"/>
      <c r="G16" s="225"/>
      <c r="H16" s="225"/>
      <c r="I16" s="225"/>
      <c r="J16" s="225"/>
      <c r="K16" s="225"/>
      <c r="L16" s="226"/>
      <c r="M16" s="226"/>
      <c r="N16" s="226"/>
      <c r="O16" s="226"/>
      <c r="P16" s="226"/>
      <c r="Q16" s="226"/>
      <c r="R16" s="226"/>
      <c r="S16" s="226"/>
      <c r="T16" s="226"/>
      <c r="U16" s="226"/>
      <c r="V16" s="226"/>
      <c r="W16" s="226"/>
      <c r="X16" s="226"/>
      <c r="Y16" s="226"/>
      <c r="Z16" s="226"/>
      <c r="AA16" s="226"/>
      <c r="AB16" s="226"/>
      <c r="AC16" s="227"/>
      <c r="AD16" s="226"/>
      <c r="AE16" s="226"/>
      <c r="AF16" s="226"/>
    </row>
    <row r="17" spans="1:33" s="1" customFormat="1" x14ac:dyDescent="0.25">
      <c r="A17" s="224"/>
      <c r="B17" s="228"/>
      <c r="C17" s="228"/>
      <c r="D17" s="225"/>
      <c r="E17" s="225"/>
      <c r="F17" s="225"/>
      <c r="G17" s="225"/>
      <c r="H17" s="225"/>
      <c r="I17" s="225"/>
      <c r="J17" s="225"/>
      <c r="K17" s="225"/>
      <c r="L17" s="229"/>
      <c r="M17" s="230"/>
      <c r="N17" s="230"/>
      <c r="O17" s="230"/>
      <c r="P17" s="230"/>
      <c r="Q17" s="230"/>
      <c r="R17" s="230"/>
      <c r="S17" s="230"/>
      <c r="T17" s="230"/>
      <c r="U17" s="230"/>
      <c r="V17" s="230"/>
      <c r="W17" s="230"/>
      <c r="X17" s="230"/>
      <c r="Y17" s="230"/>
      <c r="Z17" s="230"/>
      <c r="AA17" s="230"/>
      <c r="AB17" s="230"/>
      <c r="AC17" s="231"/>
      <c r="AD17" s="230"/>
      <c r="AE17" s="230"/>
      <c r="AF17" s="230"/>
    </row>
    <row r="18" spans="1:33" s="1" customFormat="1" ht="15.75" x14ac:dyDescent="0.25">
      <c r="B18" s="4"/>
      <c r="C18" s="4"/>
      <c r="H18" s="4"/>
      <c r="L18" s="306">
        <v>1490</v>
      </c>
      <c r="O18" s="16">
        <v>1210</v>
      </c>
      <c r="P18" s="10"/>
      <c r="Q18" s="10"/>
      <c r="R18" s="16">
        <v>280</v>
      </c>
      <c r="S18" s="456" t="s">
        <v>108</v>
      </c>
      <c r="T18" s="457"/>
      <c r="U18" s="457"/>
      <c r="V18" s="457"/>
      <c r="W18" s="457"/>
      <c r="X18" s="457"/>
      <c r="Y18" s="14" t="s">
        <v>109</v>
      </c>
      <c r="Z18" s="4"/>
      <c r="AA18" s="4"/>
      <c r="AB18" s="4"/>
      <c r="AC18" s="222"/>
      <c r="AD18" s="4"/>
      <c r="AE18" s="4"/>
      <c r="AF18" s="4"/>
    </row>
    <row r="19" spans="1:33" ht="15.75" thickBot="1" x14ac:dyDescent="0.3">
      <c r="A19" s="627" t="s">
        <v>73</v>
      </c>
      <c r="B19" s="627"/>
      <c r="C19" s="242"/>
      <c r="F19" s="50"/>
      <c r="G19" s="50"/>
      <c r="H19" s="50">
        <v>6001</v>
      </c>
      <c r="L19" s="628">
        <f>SUM(L20:M22)</f>
        <v>0</v>
      </c>
      <c r="M19" s="628"/>
      <c r="N19" s="629">
        <f>SUM(N20:O22)</f>
        <v>0</v>
      </c>
      <c r="O19" s="629"/>
      <c r="Q19" s="629">
        <f>SUM(Q20:R22)</f>
        <v>0</v>
      </c>
      <c r="R19" s="629"/>
      <c r="S19" s="458"/>
      <c r="T19" s="459"/>
      <c r="U19" s="460">
        <v>1490</v>
      </c>
      <c r="V19" s="661">
        <v>1210</v>
      </c>
      <c r="W19" s="661"/>
      <c r="X19" s="460">
        <v>280</v>
      </c>
      <c r="Z19" s="15"/>
      <c r="AA19" s="12"/>
      <c r="AB19" s="16">
        <v>1490</v>
      </c>
      <c r="AC19" s="256">
        <v>1210</v>
      </c>
      <c r="AD19" s="16">
        <v>280</v>
      </c>
      <c r="AE19" s="19"/>
      <c r="AF19" s="19"/>
    </row>
    <row r="20" spans="1:33" ht="15.75" thickTop="1" x14ac:dyDescent="0.25">
      <c r="A20" s="621" t="s">
        <v>149</v>
      </c>
      <c r="B20" s="622"/>
      <c r="C20" s="243"/>
      <c r="F20" s="51"/>
      <c r="G20" s="51"/>
      <c r="H20" s="51">
        <v>334</v>
      </c>
      <c r="L20" s="620">
        <f>(M11-L21-L22)</f>
        <v>0</v>
      </c>
      <c r="M20" s="620"/>
      <c r="N20" s="604">
        <f>L20/1490*1210</f>
        <v>0</v>
      </c>
      <c r="O20" s="604"/>
      <c r="Q20" s="604">
        <f>L20/1490*280</f>
        <v>0</v>
      </c>
      <c r="R20" s="604"/>
      <c r="S20" s="458"/>
      <c r="T20" s="461">
        <v>6001</v>
      </c>
      <c r="U20" s="462">
        <f>L20</f>
        <v>0</v>
      </c>
      <c r="V20" s="612">
        <f>(U20/1490*1210)</f>
        <v>0</v>
      </c>
      <c r="W20" s="612"/>
      <c r="X20" s="463">
        <f>U20/1490*280</f>
        <v>0</v>
      </c>
      <c r="Y20" s="613" t="s">
        <v>110</v>
      </c>
      <c r="Z20" s="613"/>
      <c r="AA20" s="20">
        <v>6301</v>
      </c>
      <c r="AB20" s="289">
        <f>(ROUND(M11+O11+U11+AA11,0)*17.5%)</f>
        <v>0</v>
      </c>
      <c r="AC20" s="325">
        <f>(AB20/1490*1210)</f>
        <v>0</v>
      </c>
      <c r="AD20" s="289">
        <f>(AB20/1490*280)</f>
        <v>0</v>
      </c>
      <c r="AE20" s="261"/>
    </row>
    <row r="21" spans="1:33" x14ac:dyDescent="0.25">
      <c r="A21" s="614" t="s">
        <v>150</v>
      </c>
      <c r="B21" s="615"/>
      <c r="C21" s="244"/>
      <c r="D21" s="49"/>
      <c r="F21" s="52"/>
      <c r="G21" s="52"/>
      <c r="H21" s="52" t="s">
        <v>111</v>
      </c>
      <c r="L21" s="620">
        <f>M11*8%</f>
        <v>0</v>
      </c>
      <c r="M21" s="620"/>
      <c r="N21" s="604">
        <f>L21/1490*1210</f>
        <v>0</v>
      </c>
      <c r="O21" s="604"/>
      <c r="Q21" s="604">
        <f>L21/1490*280</f>
        <v>0</v>
      </c>
      <c r="R21" s="604"/>
      <c r="S21" s="458"/>
      <c r="T21" s="461">
        <v>6101</v>
      </c>
      <c r="U21" s="462">
        <f>L24</f>
        <v>0</v>
      </c>
      <c r="V21" s="617">
        <f>U21/1490*1210</f>
        <v>0</v>
      </c>
      <c r="W21" s="617"/>
      <c r="X21" s="464">
        <f>U21/1490*280</f>
        <v>0</v>
      </c>
      <c r="Y21" s="613" t="s">
        <v>112</v>
      </c>
      <c r="Z21" s="613"/>
      <c r="AA21" s="20">
        <v>6302</v>
      </c>
      <c r="AB21" s="289">
        <f>ROUND(M11+O11+U11+AA11,0)*3%</f>
        <v>0</v>
      </c>
      <c r="AC21" s="295">
        <f>AB21/1490*1210</f>
        <v>0</v>
      </c>
      <c r="AD21" s="289">
        <f>(AB21/1490*280)</f>
        <v>0</v>
      </c>
      <c r="AE21" s="261"/>
    </row>
    <row r="22" spans="1:33" x14ac:dyDescent="0.25">
      <c r="A22" s="614" t="s">
        <v>151</v>
      </c>
      <c r="B22" s="615"/>
      <c r="C22" s="244"/>
      <c r="D22" s="49"/>
      <c r="F22" s="52"/>
      <c r="G22" s="52"/>
      <c r="H22" s="52" t="s">
        <v>113</v>
      </c>
      <c r="L22" s="620">
        <f>M11*1.5%</f>
        <v>0</v>
      </c>
      <c r="M22" s="620"/>
      <c r="N22" s="604">
        <f>L22/1490*1210</f>
        <v>0</v>
      </c>
      <c r="O22" s="604"/>
      <c r="Q22" s="604">
        <f>L22/1490*280</f>
        <v>0</v>
      </c>
      <c r="R22" s="604"/>
      <c r="S22" s="458"/>
      <c r="T22" s="461">
        <v>6113</v>
      </c>
      <c r="U22" s="462">
        <f>L28</f>
        <v>0</v>
      </c>
      <c r="V22" s="617">
        <f>U22/1490*1210</f>
        <v>0</v>
      </c>
      <c r="W22" s="617"/>
      <c r="X22" s="464">
        <f>U22/1490*280</f>
        <v>0</v>
      </c>
      <c r="Y22" s="613" t="s">
        <v>118</v>
      </c>
      <c r="Z22" s="613"/>
      <c r="AA22" s="20">
        <v>6001</v>
      </c>
      <c r="AB22" s="289">
        <f>ROUND(L21+L22,0)</f>
        <v>0</v>
      </c>
      <c r="AC22" s="295">
        <f>AB22/1490*1210</f>
        <v>0</v>
      </c>
      <c r="AD22" s="289">
        <f>(AB22/1490*280)</f>
        <v>0</v>
      </c>
      <c r="AE22" s="261"/>
      <c r="AG22" s="257"/>
    </row>
    <row r="23" spans="1:33" x14ac:dyDescent="0.25">
      <c r="A23" s="614" t="s">
        <v>152</v>
      </c>
      <c r="B23" s="615"/>
      <c r="C23" s="244"/>
      <c r="D23" s="49"/>
      <c r="F23" s="25"/>
      <c r="G23" s="25"/>
      <c r="H23" s="25">
        <v>6101</v>
      </c>
      <c r="L23" s="616">
        <f>SUM(L24:L26)</f>
        <v>0</v>
      </c>
      <c r="M23" s="616"/>
      <c r="N23" s="607">
        <f>SUM(N24:N26)</f>
        <v>0</v>
      </c>
      <c r="O23" s="607"/>
      <c r="Q23" s="607">
        <f>SUM(Q24:Q26)</f>
        <v>0</v>
      </c>
      <c r="R23" s="607"/>
      <c r="S23" s="458"/>
      <c r="T23" s="461">
        <v>6115</v>
      </c>
      <c r="U23" s="462">
        <f>L30</f>
        <v>0</v>
      </c>
      <c r="V23" s="617">
        <f>(U23/1490*1210)</f>
        <v>0</v>
      </c>
      <c r="W23" s="617"/>
      <c r="X23" s="464">
        <f>(U23/1490*280)</f>
        <v>0</v>
      </c>
      <c r="Y23" s="613" t="s">
        <v>118</v>
      </c>
      <c r="Z23" s="613"/>
      <c r="AA23" s="20">
        <v>6101</v>
      </c>
      <c r="AB23" s="289">
        <f>ROUND(L25+L26,0)</f>
        <v>0</v>
      </c>
      <c r="AC23" s="294">
        <f>AB23/1490*1210</f>
        <v>0</v>
      </c>
      <c r="AD23" s="289">
        <f>AB23/1490*280</f>
        <v>0</v>
      </c>
      <c r="AE23" s="261"/>
    </row>
    <row r="24" spans="1:33" ht="15.75" thickBot="1" x14ac:dyDescent="0.3">
      <c r="A24" s="609" t="s">
        <v>156</v>
      </c>
      <c r="B24" s="610"/>
      <c r="C24" s="244"/>
      <c r="F24" s="26"/>
      <c r="G24" s="26"/>
      <c r="H24" s="24">
        <v>334</v>
      </c>
      <c r="L24" s="611">
        <f>O11-L25-L26</f>
        <v>0</v>
      </c>
      <c r="M24" s="611"/>
      <c r="N24" s="604">
        <f>L24/1490*1210</f>
        <v>0</v>
      </c>
      <c r="O24" s="604"/>
      <c r="Q24" s="604">
        <f>L24/1490*280</f>
        <v>0</v>
      </c>
      <c r="R24" s="604"/>
      <c r="S24" s="458"/>
      <c r="T24" s="461">
        <v>6124</v>
      </c>
      <c r="U24" s="462">
        <f>L34</f>
        <v>0</v>
      </c>
      <c r="V24" s="612">
        <f>U24/1490*1210</f>
        <v>0</v>
      </c>
      <c r="W24" s="612"/>
      <c r="X24" s="464">
        <f>U24/1490*280</f>
        <v>0</v>
      </c>
      <c r="Y24" s="613" t="s">
        <v>118</v>
      </c>
      <c r="Z24" s="613"/>
      <c r="AA24" s="20">
        <v>6115</v>
      </c>
      <c r="AB24" s="289">
        <f>ROUND(L31+L32,0)+1</f>
        <v>1</v>
      </c>
      <c r="AC24" s="294">
        <f>(AB24/1490*1210)</f>
        <v>0.81208053691275162</v>
      </c>
      <c r="AD24" s="289">
        <f>(AB24/1490*280)</f>
        <v>0.1879194630872483</v>
      </c>
      <c r="AE24" s="261"/>
    </row>
    <row r="25" spans="1:33" ht="16.5" thickTop="1" x14ac:dyDescent="0.25">
      <c r="A25" s="18"/>
      <c r="B25" s="27"/>
      <c r="C25" s="27"/>
      <c r="D25" s="29"/>
      <c r="F25" s="24"/>
      <c r="G25" s="24"/>
      <c r="H25" s="24" t="s">
        <v>111</v>
      </c>
      <c r="L25" s="611">
        <f>O11*8%</f>
        <v>0</v>
      </c>
      <c r="M25" s="611"/>
      <c r="N25" s="604">
        <f>L25/1490*1210</f>
        <v>0</v>
      </c>
      <c r="O25" s="604"/>
      <c r="Q25" s="604">
        <f>L25/1490*280</f>
        <v>0</v>
      </c>
      <c r="R25" s="604"/>
      <c r="S25" s="458"/>
      <c r="T25" s="465" t="s">
        <v>86</v>
      </c>
      <c r="U25" s="466">
        <f>SUM(U20:U24)</f>
        <v>0</v>
      </c>
      <c r="V25" s="651">
        <f>SUM(V20:V24)</f>
        <v>0</v>
      </c>
      <c r="W25" s="651"/>
      <c r="X25" s="467">
        <f>SUM(X20:X24)</f>
        <v>0</v>
      </c>
      <c r="Y25" s="18"/>
      <c r="Z25" s="324" t="s">
        <v>86</v>
      </c>
      <c r="AA25" s="324"/>
      <c r="AB25" s="310">
        <f>SUM(AB20:AB24)</f>
        <v>1</v>
      </c>
      <c r="AC25" s="311">
        <f>SUM(AC20:AC24)</f>
        <v>0.81208053691275162</v>
      </c>
      <c r="AD25" s="312">
        <f>SUM(AD20:AD24)</f>
        <v>0.1879194630872483</v>
      </c>
      <c r="AE25" s="262"/>
      <c r="AF25" s="92"/>
    </row>
    <row r="26" spans="1:33" ht="15.75" x14ac:dyDescent="0.25">
      <c r="A26" s="28"/>
      <c r="B26" s="27"/>
      <c r="C26" s="27"/>
      <c r="D26" s="27"/>
      <c r="F26" s="24"/>
      <c r="G26" s="24"/>
      <c r="H26" s="24" t="s">
        <v>113</v>
      </c>
      <c r="L26" s="652">
        <f>O11*1.5%</f>
        <v>0</v>
      </c>
      <c r="M26" s="652"/>
      <c r="N26" s="604">
        <f>L26/1490*1210</f>
        <v>0</v>
      </c>
      <c r="O26" s="604"/>
      <c r="Q26" s="604">
        <f>L26/1490*280</f>
        <v>0</v>
      </c>
      <c r="R26" s="604"/>
      <c r="S26" s="27"/>
      <c r="T26" s="39"/>
      <c r="U26" s="39"/>
      <c r="V26" s="21"/>
      <c r="W26" s="27"/>
      <c r="X26" s="27"/>
      <c r="Y26" s="27"/>
      <c r="Z26" s="15"/>
      <c r="AA26" s="32"/>
      <c r="AB26" s="32"/>
      <c r="AC26" s="263"/>
      <c r="AD26" s="260"/>
      <c r="AE26" s="264"/>
    </row>
    <row r="27" spans="1:33" ht="15.75" x14ac:dyDescent="0.25">
      <c r="A27" s="27"/>
      <c r="B27" s="27"/>
      <c r="C27" s="27"/>
      <c r="D27" s="27"/>
      <c r="F27" s="15"/>
      <c r="G27" s="15"/>
      <c r="H27" s="15">
        <v>6113</v>
      </c>
      <c r="L27" s="662">
        <f>L28</f>
        <v>0</v>
      </c>
      <c r="M27" s="662"/>
      <c r="N27" s="602">
        <f>N28</f>
        <v>0</v>
      </c>
      <c r="O27" s="602"/>
      <c r="Q27" s="602">
        <f>Q28</f>
        <v>0</v>
      </c>
      <c r="R27" s="602"/>
      <c r="S27" s="27"/>
      <c r="T27" s="39"/>
      <c r="U27" s="39"/>
      <c r="V27" s="31"/>
      <c r="W27" s="663" t="s">
        <v>114</v>
      </c>
      <c r="X27" s="663"/>
      <c r="Y27" s="663"/>
      <c r="Z27" s="22" t="s">
        <v>115</v>
      </c>
      <c r="AA27" s="20">
        <v>6303</v>
      </c>
      <c r="AB27" s="291">
        <f>AB21/3*2</f>
        <v>0</v>
      </c>
      <c r="AC27" s="289">
        <f>AB27/1490*1210</f>
        <v>0</v>
      </c>
      <c r="AD27" s="291">
        <f>AB27/1490*280</f>
        <v>0</v>
      </c>
      <c r="AE27" s="261"/>
    </row>
    <row r="28" spans="1:33" ht="15.75" x14ac:dyDescent="0.25">
      <c r="A28" s="27"/>
      <c r="B28" s="27"/>
      <c r="C28" s="27"/>
      <c r="D28" s="27"/>
      <c r="F28" s="51"/>
      <c r="G28" s="51"/>
      <c r="H28" s="51">
        <v>334</v>
      </c>
      <c r="L28" s="603">
        <f>R11</f>
        <v>0</v>
      </c>
      <c r="M28" s="603"/>
      <c r="N28" s="604">
        <f>L28/1490*1210</f>
        <v>0</v>
      </c>
      <c r="O28" s="604"/>
      <c r="Q28" s="604">
        <f>L28/1490*280</f>
        <v>0</v>
      </c>
      <c r="R28" s="604"/>
      <c r="S28" s="33" t="s">
        <v>116</v>
      </c>
      <c r="T28" s="27"/>
      <c r="U28" s="27"/>
      <c r="V28" s="17"/>
      <c r="W28" s="34"/>
      <c r="X28" s="30"/>
      <c r="Y28" s="30"/>
      <c r="Z28" s="31"/>
      <c r="AA28" s="31"/>
      <c r="AB28" s="445">
        <f>ROUND(M11+O11+U11+AA11,0)*2%</f>
        <v>0</v>
      </c>
    </row>
    <row r="29" spans="1:33" ht="15.75" x14ac:dyDescent="0.25">
      <c r="A29" s="27"/>
      <c r="B29" s="27"/>
      <c r="C29" s="27"/>
      <c r="D29" s="27"/>
      <c r="F29" s="15"/>
      <c r="G29" s="15"/>
      <c r="H29" s="15">
        <v>6115</v>
      </c>
      <c r="L29" s="606">
        <f>SUM(L30:M32)</f>
        <v>0</v>
      </c>
      <c r="M29" s="606"/>
      <c r="N29" s="607">
        <f>SUM(N30:O32)</f>
        <v>0</v>
      </c>
      <c r="O29" s="607"/>
      <c r="Q29" s="607">
        <f>SUM(Q30:R32)</f>
        <v>0</v>
      </c>
      <c r="R29" s="607"/>
      <c r="S29" s="4"/>
      <c r="T29" s="18"/>
      <c r="U29" s="27"/>
      <c r="V29" s="27"/>
      <c r="W29" s="34"/>
      <c r="X29" s="30"/>
      <c r="Y29" s="30"/>
      <c r="Z29" s="31"/>
      <c r="AA29" s="31"/>
      <c r="AB29" s="30"/>
    </row>
    <row r="30" spans="1:33" ht="15.75" x14ac:dyDescent="0.25">
      <c r="A30" s="27"/>
      <c r="B30" s="27"/>
      <c r="C30" s="27"/>
      <c r="D30" s="27"/>
      <c r="F30" s="51"/>
      <c r="G30" s="51"/>
      <c r="H30" s="51">
        <v>334</v>
      </c>
      <c r="L30" s="608">
        <f>(U11+AA11)-L31-L32</f>
        <v>0</v>
      </c>
      <c r="M30" s="608"/>
      <c r="N30" s="604">
        <f>L30/1490*1210</f>
        <v>0</v>
      </c>
      <c r="O30" s="604"/>
      <c r="Q30" s="604">
        <f>L30/1490*280</f>
        <v>0</v>
      </c>
      <c r="R30" s="604"/>
      <c r="S30" s="85"/>
      <c r="T30" s="18"/>
      <c r="U30" s="27"/>
      <c r="V30" s="27"/>
      <c r="W30" s="34"/>
      <c r="X30" s="30"/>
      <c r="Y30" s="31"/>
      <c r="Z30" s="31"/>
      <c r="AA30" s="31"/>
      <c r="AB30" s="30"/>
      <c r="AF30" s="92"/>
    </row>
    <row r="31" spans="1:33" ht="15.75" x14ac:dyDescent="0.25">
      <c r="A31" s="27"/>
      <c r="B31" s="27"/>
      <c r="C31" s="27"/>
      <c r="D31" s="27"/>
      <c r="F31" s="51"/>
      <c r="G31" s="51"/>
      <c r="H31" s="51" t="s">
        <v>111</v>
      </c>
      <c r="L31" s="605">
        <f>(U11+AA11)*8%</f>
        <v>0</v>
      </c>
      <c r="M31" s="605"/>
      <c r="N31" s="604">
        <f>L31/1490*1210</f>
        <v>0</v>
      </c>
      <c r="O31" s="604"/>
      <c r="Q31" s="604">
        <f>L31/1490*280</f>
        <v>0</v>
      </c>
      <c r="R31" s="604"/>
      <c r="S31" s="290"/>
      <c r="T31" s="18"/>
      <c r="U31" s="27"/>
      <c r="V31" s="27"/>
      <c r="W31" s="34"/>
      <c r="X31" s="36"/>
      <c r="Y31" s="31"/>
      <c r="Z31" s="37"/>
      <c r="AA31" s="87"/>
      <c r="AB31" s="30"/>
    </row>
    <row r="32" spans="1:33" ht="15.75" x14ac:dyDescent="0.25">
      <c r="A32" s="27"/>
      <c r="B32" s="17"/>
      <c r="C32" s="17"/>
      <c r="D32" s="17"/>
      <c r="F32" s="51"/>
      <c r="G32" s="51"/>
      <c r="H32" s="51" t="s">
        <v>113</v>
      </c>
      <c r="L32" s="605">
        <f>(U11+AA11)*1.5%</f>
        <v>0</v>
      </c>
      <c r="M32" s="605"/>
      <c r="N32" s="604">
        <f>L32/1490*1210</f>
        <v>0</v>
      </c>
      <c r="O32" s="604"/>
      <c r="Q32" s="604">
        <f>L32/1490*280</f>
        <v>0</v>
      </c>
      <c r="R32" s="604"/>
      <c r="S32" s="18"/>
      <c r="T32" s="18"/>
      <c r="U32" s="27"/>
      <c r="V32" s="27"/>
      <c r="W32" s="17"/>
      <c r="X32" s="17"/>
      <c r="Y32" s="17"/>
      <c r="Z32" s="17"/>
      <c r="AA32" s="17"/>
      <c r="AB32" s="17"/>
    </row>
    <row r="33" spans="1:29" ht="15.75" x14ac:dyDescent="0.25">
      <c r="A33" s="17"/>
      <c r="B33" s="17"/>
      <c r="C33" s="17"/>
      <c r="D33" s="17"/>
      <c r="F33" s="15"/>
      <c r="G33" s="15"/>
      <c r="H33" s="15">
        <v>6124</v>
      </c>
      <c r="L33" s="601">
        <f>L34</f>
        <v>0</v>
      </c>
      <c r="M33" s="601"/>
      <c r="N33" s="602">
        <f>N34</f>
        <v>0</v>
      </c>
      <c r="O33" s="602"/>
      <c r="Q33" s="602">
        <f>Q34</f>
        <v>0</v>
      </c>
      <c r="R33" s="602"/>
      <c r="S33" s="17"/>
      <c r="T33" s="17"/>
      <c r="U33" s="17"/>
      <c r="V33" s="17"/>
      <c r="W33" s="17"/>
      <c r="X33" s="17"/>
      <c r="Y33" s="17"/>
      <c r="Z33" s="17"/>
      <c r="AA33" s="17"/>
      <c r="AB33" s="17"/>
    </row>
    <row r="34" spans="1:29" ht="15.75" x14ac:dyDescent="0.25">
      <c r="A34" s="17"/>
      <c r="B34" s="17"/>
      <c r="C34" s="17"/>
      <c r="D34" s="17"/>
      <c r="F34" s="51"/>
      <c r="G34" s="51"/>
      <c r="H34" s="51">
        <v>334</v>
      </c>
      <c r="L34" s="603">
        <f>X11</f>
        <v>0</v>
      </c>
      <c r="M34" s="603"/>
      <c r="N34" s="604">
        <f>L34/1490*1210</f>
        <v>0</v>
      </c>
      <c r="O34" s="604"/>
      <c r="Q34" s="604">
        <f>L34/1490*280</f>
        <v>0</v>
      </c>
      <c r="R34" s="604"/>
      <c r="S34" s="17"/>
      <c r="T34" s="17"/>
      <c r="U34" s="17"/>
      <c r="V34" s="17"/>
      <c r="W34" s="17"/>
      <c r="X34" s="17"/>
      <c r="Z34" s="38"/>
      <c r="AA34" s="17"/>
      <c r="AB34" s="17"/>
    </row>
    <row r="35" spans="1:29" s="88" customFormat="1" ht="15.75" x14ac:dyDescent="0.25">
      <c r="A35" s="17"/>
      <c r="D35" s="17"/>
      <c r="F35" s="319"/>
      <c r="G35" s="319"/>
      <c r="H35" s="319"/>
      <c r="L35" s="23"/>
      <c r="N35" s="23"/>
      <c r="O35" s="17"/>
      <c r="P35" s="35"/>
      <c r="Q35" s="17"/>
      <c r="R35" s="17"/>
      <c r="S35" s="17"/>
      <c r="T35" s="17"/>
      <c r="U35" s="17"/>
      <c r="V35" s="17"/>
      <c r="W35" s="17"/>
      <c r="X35" s="17"/>
      <c r="Y35" s="597" t="s">
        <v>334</v>
      </c>
      <c r="Z35" s="597"/>
      <c r="AA35" s="597"/>
      <c r="AB35" s="597"/>
      <c r="AC35" s="258"/>
    </row>
    <row r="36" spans="1:29" s="88" customFormat="1" ht="15.75" x14ac:dyDescent="0.25">
      <c r="D36" s="17"/>
      <c r="E36" s="319"/>
      <c r="F36" s="319"/>
      <c r="G36" s="319"/>
      <c r="H36" s="598" t="s">
        <v>296</v>
      </c>
      <c r="I36" s="598"/>
      <c r="J36" s="598"/>
      <c r="K36" s="598"/>
      <c r="L36" s="598"/>
      <c r="N36" s="17"/>
      <c r="O36" s="17"/>
      <c r="P36" s="23"/>
      <c r="Q36" s="598" t="s">
        <v>219</v>
      </c>
      <c r="R36" s="598"/>
      <c r="S36" s="598"/>
      <c r="T36" s="17"/>
      <c r="U36" s="17"/>
      <c r="V36" s="17"/>
      <c r="W36" s="17"/>
      <c r="X36" s="17"/>
      <c r="Y36" s="598" t="s">
        <v>281</v>
      </c>
      <c r="Z36" s="598"/>
      <c r="AA36" s="598"/>
      <c r="AB36" s="598"/>
      <c r="AC36" s="258"/>
    </row>
    <row r="37" spans="1:29" s="88" customFormat="1" ht="15.75" x14ac:dyDescent="0.25">
      <c r="E37" s="17"/>
      <c r="F37" s="17"/>
      <c r="G37" s="17"/>
      <c r="H37" s="17"/>
      <c r="I37" s="319"/>
      <c r="J37" s="319"/>
      <c r="L37" s="23"/>
      <c r="M37" s="23"/>
      <c r="N37" s="17"/>
      <c r="O37" s="17"/>
      <c r="P37" s="23"/>
      <c r="Q37" s="17"/>
      <c r="R37" s="320"/>
      <c r="S37" s="17"/>
      <c r="T37" s="17"/>
      <c r="U37" s="17"/>
      <c r="V37" s="17"/>
      <c r="W37" s="89"/>
      <c r="X37" s="89"/>
      <c r="Z37" s="598" t="s">
        <v>279</v>
      </c>
      <c r="AA37" s="599"/>
      <c r="AB37" s="599"/>
      <c r="AC37" s="258"/>
    </row>
    <row r="38" spans="1:29" s="88" customFormat="1" ht="15.75" x14ac:dyDescent="0.25">
      <c r="E38" s="17"/>
      <c r="F38" s="17"/>
      <c r="G38" s="17"/>
      <c r="H38" s="17"/>
      <c r="I38" s="328"/>
      <c r="J38" s="328"/>
      <c r="L38" s="23"/>
      <c r="M38" s="23"/>
      <c r="N38" s="17"/>
      <c r="O38" s="17"/>
      <c r="P38" s="23"/>
      <c r="Q38" s="17"/>
      <c r="R38" s="329"/>
      <c r="S38" s="17"/>
      <c r="T38" s="17"/>
      <c r="U38" s="17"/>
      <c r="V38" s="17"/>
      <c r="W38" s="89"/>
      <c r="X38" s="89"/>
      <c r="Z38" s="328"/>
      <c r="AA38" s="329"/>
      <c r="AB38" s="329"/>
      <c r="AC38" s="258"/>
    </row>
    <row r="39" spans="1:29" s="88" customFormat="1" ht="31.5" customHeight="1" x14ac:dyDescent="0.25">
      <c r="E39" s="17"/>
      <c r="F39" s="17"/>
      <c r="G39" s="17"/>
      <c r="H39" s="17"/>
      <c r="I39" s="328"/>
      <c r="J39" s="328"/>
      <c r="L39" s="23"/>
      <c r="M39" s="23"/>
      <c r="N39" s="17"/>
      <c r="O39" s="17"/>
      <c r="P39" s="23"/>
      <c r="Q39" s="17"/>
      <c r="R39" s="329"/>
      <c r="S39" s="17"/>
      <c r="T39" s="17"/>
      <c r="U39" s="17"/>
      <c r="V39" s="17"/>
      <c r="W39" s="89"/>
      <c r="X39" s="89"/>
      <c r="Z39" s="328"/>
      <c r="AA39" s="329"/>
      <c r="AB39" s="329"/>
      <c r="AC39" s="258"/>
    </row>
    <row r="40" spans="1:29" s="88" customFormat="1" ht="15.75" x14ac:dyDescent="0.25">
      <c r="D40" s="319"/>
      <c r="E40" s="1"/>
      <c r="F40" s="1"/>
      <c r="G40" s="1"/>
      <c r="H40" s="17"/>
      <c r="I40" s="320"/>
      <c r="J40" s="320"/>
      <c r="K40" s="1"/>
      <c r="L40" s="17"/>
      <c r="M40" s="17"/>
      <c r="N40" s="17"/>
      <c r="O40" s="259"/>
      <c r="P40" s="89"/>
      <c r="Q40" s="17"/>
      <c r="R40" s="320"/>
      <c r="S40" s="17"/>
      <c r="T40" s="17"/>
      <c r="V40" s="17"/>
      <c r="W40" s="17"/>
      <c r="X40" s="17"/>
      <c r="Y40" s="319"/>
      <c r="Z40" s="319"/>
      <c r="AA40" s="17"/>
      <c r="AB40" s="17"/>
      <c r="AC40" s="258"/>
    </row>
    <row r="41" spans="1:29" s="88" customFormat="1" ht="15.75" x14ac:dyDescent="0.25">
      <c r="D41" s="17"/>
      <c r="E41" s="1"/>
      <c r="F41" s="1"/>
      <c r="G41" s="1"/>
      <c r="H41" s="17"/>
      <c r="I41" s="320"/>
      <c r="J41" s="320"/>
      <c r="K41" s="2"/>
      <c r="L41" s="17"/>
      <c r="M41" s="17"/>
      <c r="N41" s="17"/>
      <c r="O41" s="17"/>
      <c r="P41" s="89"/>
      <c r="Q41" s="17"/>
      <c r="R41" s="320"/>
      <c r="S41" s="17"/>
      <c r="T41" s="17"/>
      <c r="V41" s="17"/>
      <c r="W41" s="17"/>
      <c r="X41" s="17"/>
      <c r="Y41" s="17"/>
      <c r="Z41" s="17"/>
      <c r="AA41" s="17"/>
      <c r="AB41" s="17"/>
      <c r="AC41" s="258"/>
    </row>
    <row r="42" spans="1:29" s="88" customFormat="1" ht="15.75" x14ac:dyDescent="0.25">
      <c r="D42" s="319"/>
      <c r="E42" s="1"/>
      <c r="F42" s="1"/>
      <c r="G42" s="1"/>
      <c r="H42" s="598" t="s">
        <v>297</v>
      </c>
      <c r="I42" s="598"/>
      <c r="J42" s="598"/>
      <c r="K42" s="598"/>
      <c r="L42" s="598"/>
      <c r="M42" s="17"/>
      <c r="N42" s="17"/>
      <c r="O42" s="17"/>
      <c r="P42" s="17"/>
      <c r="Q42" s="600" t="s">
        <v>55</v>
      </c>
      <c r="R42" s="600"/>
      <c r="S42" s="600"/>
      <c r="T42" s="17"/>
      <c r="U42" s="17"/>
      <c r="V42" s="17"/>
      <c r="W42" s="89"/>
      <c r="X42" s="89"/>
      <c r="Y42" s="598" t="s">
        <v>23</v>
      </c>
      <c r="Z42" s="598"/>
      <c r="AA42" s="598"/>
      <c r="AB42" s="598"/>
      <c r="AC42" s="258"/>
    </row>
    <row r="43" spans="1:29" s="88" customFormat="1" ht="15.75" x14ac:dyDescent="0.25">
      <c r="A43" s="89"/>
      <c r="B43" s="4"/>
      <c r="C43" s="4"/>
      <c r="D43" s="1"/>
      <c r="E43" s="1"/>
      <c r="F43" s="1"/>
      <c r="G43" s="1"/>
      <c r="H43" s="1"/>
      <c r="I43" s="1"/>
      <c r="J43" s="1"/>
      <c r="K43" s="1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4"/>
      <c r="X43" s="4"/>
      <c r="Y43" s="4"/>
      <c r="Z43" s="4"/>
      <c r="AA43" s="4"/>
      <c r="AB43" s="4"/>
      <c r="AC43" s="258"/>
    </row>
  </sheetData>
  <mergeCells count="106">
    <mergeCell ref="V25:W25"/>
    <mergeCell ref="L26:M26"/>
    <mergeCell ref="Y6:AA6"/>
    <mergeCell ref="AC6:AC7"/>
    <mergeCell ref="AG5:AG7"/>
    <mergeCell ref="H36:L36"/>
    <mergeCell ref="H42:L42"/>
    <mergeCell ref="H5:H7"/>
    <mergeCell ref="I5:I7"/>
    <mergeCell ref="J5:M5"/>
    <mergeCell ref="N5:AA5"/>
    <mergeCell ref="AB5:AB7"/>
    <mergeCell ref="AC5:AE5"/>
    <mergeCell ref="AD6:AD7"/>
    <mergeCell ref="AE6:AE7"/>
    <mergeCell ref="V19:W19"/>
    <mergeCell ref="L27:M27"/>
    <mergeCell ref="N27:O27"/>
    <mergeCell ref="Q27:R27"/>
    <mergeCell ref="W27:Y27"/>
    <mergeCell ref="L28:M28"/>
    <mergeCell ref="N28:O28"/>
    <mergeCell ref="Q28:R28"/>
    <mergeCell ref="L25:M25"/>
    <mergeCell ref="N25:O25"/>
    <mergeCell ref="Q25:R25"/>
    <mergeCell ref="B8:C8"/>
    <mergeCell ref="B11:C11"/>
    <mergeCell ref="A19:B19"/>
    <mergeCell ref="L19:M19"/>
    <mergeCell ref="N19:O19"/>
    <mergeCell ref="Q19:R19"/>
    <mergeCell ref="A1:M1"/>
    <mergeCell ref="N1:AF1"/>
    <mergeCell ref="A2:M2"/>
    <mergeCell ref="N2:AF2"/>
    <mergeCell ref="A3:AF3"/>
    <mergeCell ref="A5:A7"/>
    <mergeCell ref="B5:C7"/>
    <mergeCell ref="D5:E6"/>
    <mergeCell ref="F5:F7"/>
    <mergeCell ref="G5:G7"/>
    <mergeCell ref="AF5:AF7"/>
    <mergeCell ref="J6:J7"/>
    <mergeCell ref="L6:L7"/>
    <mergeCell ref="M6:M7"/>
    <mergeCell ref="N6:O6"/>
    <mergeCell ref="P6:R6"/>
    <mergeCell ref="S6:U6"/>
    <mergeCell ref="V6:X6"/>
    <mergeCell ref="A22:B22"/>
    <mergeCell ref="L22:M22"/>
    <mergeCell ref="N22:O22"/>
    <mergeCell ref="Q22:R22"/>
    <mergeCell ref="V22:W22"/>
    <mergeCell ref="Y22:Z22"/>
    <mergeCell ref="Y20:Z20"/>
    <mergeCell ref="A21:B21"/>
    <mergeCell ref="L21:M21"/>
    <mergeCell ref="N21:O21"/>
    <mergeCell ref="Q21:R21"/>
    <mergeCell ref="V21:W21"/>
    <mergeCell ref="Y21:Z21"/>
    <mergeCell ref="A20:B20"/>
    <mergeCell ref="L20:M20"/>
    <mergeCell ref="N20:O20"/>
    <mergeCell ref="Q20:R20"/>
    <mergeCell ref="V20:W20"/>
    <mergeCell ref="A24:B24"/>
    <mergeCell ref="L24:M24"/>
    <mergeCell ref="N24:O24"/>
    <mergeCell ref="Q24:R24"/>
    <mergeCell ref="V24:W24"/>
    <mergeCell ref="Y24:Z24"/>
    <mergeCell ref="A23:B23"/>
    <mergeCell ref="L23:M23"/>
    <mergeCell ref="N23:O23"/>
    <mergeCell ref="Q23:R23"/>
    <mergeCell ref="V23:W23"/>
    <mergeCell ref="Y23:Z23"/>
    <mergeCell ref="N26:O26"/>
    <mergeCell ref="Q26:R26"/>
    <mergeCell ref="L31:M31"/>
    <mergeCell ref="N31:O31"/>
    <mergeCell ref="Q31:R31"/>
    <mergeCell ref="L32:M32"/>
    <mergeCell ref="N32:O32"/>
    <mergeCell ref="Q32:R32"/>
    <mergeCell ref="L29:M29"/>
    <mergeCell ref="N29:O29"/>
    <mergeCell ref="Q29:R29"/>
    <mergeCell ref="L30:M30"/>
    <mergeCell ref="N30:O30"/>
    <mergeCell ref="Q30:R30"/>
    <mergeCell ref="Y35:AB35"/>
    <mergeCell ref="Q36:S36"/>
    <mergeCell ref="Y36:AB36"/>
    <mergeCell ref="Z37:AB37"/>
    <mergeCell ref="Q42:S42"/>
    <mergeCell ref="Y42:AB42"/>
    <mergeCell ref="L33:M33"/>
    <mergeCell ref="N33:O33"/>
    <mergeCell ref="Q33:R33"/>
    <mergeCell ref="L34:M34"/>
    <mergeCell ref="N34:O34"/>
    <mergeCell ref="Q34:R34"/>
  </mergeCells>
  <pageMargins left="0" right="0" top="0.25" bottom="0.25" header="0.3" footer="0.3"/>
  <pageSetup scale="55" orientation="landscape" verticalDpi="0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J63"/>
  <sheetViews>
    <sheetView zoomScale="80" zoomScaleNormal="80" workbookViewId="0">
      <selection activeCell="L42" sqref="L42:M42"/>
    </sheetView>
  </sheetViews>
  <sheetFormatPr defaultRowHeight="12" x14ac:dyDescent="0.2"/>
  <cols>
    <col min="1" max="1" width="4.42578125" style="529" customWidth="1"/>
    <col min="2" max="2" width="12.140625" style="529" customWidth="1"/>
    <col min="3" max="3" width="8.5703125" style="529" customWidth="1"/>
    <col min="4" max="4" width="4" style="529" hidden="1" customWidth="1"/>
    <col min="5" max="5" width="7.5703125" style="529" hidden="1" customWidth="1"/>
    <col min="6" max="6" width="5.140625" style="529" hidden="1" customWidth="1"/>
    <col min="7" max="7" width="12.85546875" style="529" hidden="1" customWidth="1"/>
    <col min="8" max="8" width="11.85546875" style="529" customWidth="1"/>
    <col min="9" max="9" width="6.42578125" style="529" customWidth="1"/>
    <col min="10" max="11" width="6.5703125" style="529" hidden="1" customWidth="1"/>
    <col min="12" max="12" width="5" style="529" customWidth="1"/>
    <col min="13" max="13" width="7.7109375" style="529" customWidth="1"/>
    <col min="14" max="14" width="6.140625" style="529" customWidth="1"/>
    <col min="15" max="15" width="6" style="529" customWidth="1"/>
    <col min="16" max="16" width="5.5703125" style="529" customWidth="1"/>
    <col min="17" max="17" width="6.140625" style="529" customWidth="1"/>
    <col min="18" max="18" width="7.42578125" style="529" customWidth="1"/>
    <col min="19" max="19" width="4.5703125" style="530" customWidth="1"/>
    <col min="20" max="20" width="6.42578125" style="529" customWidth="1"/>
    <col min="21" max="21" width="9.7109375" style="529" customWidth="1"/>
    <col min="22" max="22" width="7" style="529" customWidth="1"/>
    <col min="23" max="23" width="8.28515625" style="529" customWidth="1"/>
    <col min="24" max="24" width="10.140625" style="529" customWidth="1"/>
    <col min="25" max="25" width="5.7109375" style="529" customWidth="1"/>
    <col min="26" max="26" width="7.28515625" style="529" customWidth="1"/>
    <col min="27" max="27" width="6.5703125" style="529" customWidth="1"/>
    <col min="28" max="28" width="10.28515625" style="529" customWidth="1"/>
    <col min="29" max="29" width="5.5703125" style="529" customWidth="1"/>
    <col min="30" max="30" width="11.42578125" style="529" customWidth="1"/>
    <col min="31" max="31" width="7.28515625" style="531" customWidth="1"/>
    <col min="32" max="32" width="9.85546875" style="529" customWidth="1"/>
    <col min="33" max="33" width="9" style="529" customWidth="1"/>
    <col min="34" max="35" width="9.42578125" style="529" customWidth="1"/>
    <col min="36" max="16384" width="9.140625" style="529"/>
  </cols>
  <sheetData>
    <row r="1" spans="1:36" s="1" customFormat="1" ht="15.75" x14ac:dyDescent="0.25">
      <c r="A1" s="599" t="s">
        <v>0</v>
      </c>
      <c r="B1" s="599"/>
      <c r="C1" s="599"/>
      <c r="D1" s="599"/>
      <c r="E1" s="599"/>
      <c r="F1" s="599"/>
      <c r="G1" s="599"/>
      <c r="H1" s="599"/>
      <c r="I1" s="599"/>
      <c r="J1" s="599"/>
      <c r="K1" s="599"/>
      <c r="L1" s="599"/>
      <c r="M1" s="599"/>
      <c r="N1" s="598" t="s">
        <v>1</v>
      </c>
      <c r="O1" s="598"/>
      <c r="P1" s="598"/>
      <c r="Q1" s="598"/>
      <c r="R1" s="598"/>
      <c r="S1" s="598"/>
      <c r="T1" s="598"/>
      <c r="U1" s="598"/>
      <c r="V1" s="598"/>
      <c r="W1" s="598"/>
      <c r="X1" s="598"/>
      <c r="Y1" s="598"/>
      <c r="Z1" s="598"/>
      <c r="AA1" s="598"/>
      <c r="AB1" s="598"/>
      <c r="AC1" s="598"/>
      <c r="AD1" s="598"/>
      <c r="AE1" s="598"/>
      <c r="AF1" s="598"/>
      <c r="AG1" s="598"/>
      <c r="AH1" s="598"/>
    </row>
    <row r="2" spans="1:36" s="1" customFormat="1" ht="15.75" x14ac:dyDescent="0.25">
      <c r="A2" s="598" t="s">
        <v>2</v>
      </c>
      <c r="B2" s="598"/>
      <c r="C2" s="598"/>
      <c r="D2" s="598"/>
      <c r="E2" s="598"/>
      <c r="F2" s="598"/>
      <c r="G2" s="598"/>
      <c r="H2" s="598"/>
      <c r="I2" s="598"/>
      <c r="J2" s="598"/>
      <c r="K2" s="598"/>
      <c r="L2" s="598"/>
      <c r="M2" s="598"/>
      <c r="N2" s="664" t="s">
        <v>3</v>
      </c>
      <c r="O2" s="664"/>
      <c r="P2" s="664"/>
      <c r="Q2" s="664"/>
      <c r="R2" s="664"/>
      <c r="S2" s="664"/>
      <c r="T2" s="664"/>
      <c r="U2" s="664"/>
      <c r="V2" s="664"/>
      <c r="W2" s="664"/>
      <c r="X2" s="664"/>
      <c r="Y2" s="664"/>
      <c r="Z2" s="664"/>
      <c r="AA2" s="664"/>
      <c r="AB2" s="664"/>
      <c r="AC2" s="664"/>
      <c r="AD2" s="664"/>
      <c r="AE2" s="664"/>
      <c r="AF2" s="664"/>
      <c r="AG2" s="664"/>
      <c r="AH2" s="664"/>
    </row>
    <row r="3" spans="1:36" s="1" customFormat="1" ht="34.5" customHeight="1" x14ac:dyDescent="0.25">
      <c r="A3" s="598" t="s">
        <v>351</v>
      </c>
      <c r="B3" s="598"/>
      <c r="C3" s="598"/>
      <c r="D3" s="598"/>
      <c r="E3" s="598"/>
      <c r="F3" s="598"/>
      <c r="G3" s="598"/>
      <c r="H3" s="598"/>
      <c r="I3" s="598"/>
      <c r="J3" s="598"/>
      <c r="K3" s="598"/>
      <c r="L3" s="598"/>
      <c r="M3" s="598"/>
      <c r="N3" s="598"/>
      <c r="O3" s="598"/>
      <c r="P3" s="598"/>
      <c r="Q3" s="598"/>
      <c r="R3" s="598"/>
      <c r="S3" s="598"/>
      <c r="T3" s="598"/>
      <c r="U3" s="598"/>
      <c r="V3" s="598"/>
      <c r="W3" s="598"/>
      <c r="X3" s="598"/>
      <c r="Y3" s="598"/>
      <c r="Z3" s="598"/>
      <c r="AA3" s="598"/>
      <c r="AB3" s="598"/>
      <c r="AC3" s="598"/>
      <c r="AD3" s="598"/>
      <c r="AE3" s="598"/>
      <c r="AF3" s="598"/>
      <c r="AG3" s="598"/>
      <c r="AH3" s="598"/>
    </row>
    <row r="4" spans="1:36" s="331" customFormat="1" ht="34.5" customHeight="1" x14ac:dyDescent="0.2">
      <c r="A4" s="332" t="s">
        <v>148</v>
      </c>
      <c r="D4" s="333">
        <v>1490000</v>
      </c>
      <c r="E4" s="334" t="s">
        <v>4</v>
      </c>
      <c r="M4" s="335"/>
      <c r="N4" s="335"/>
      <c r="O4" s="335"/>
      <c r="P4" s="335"/>
      <c r="Q4" s="335"/>
      <c r="R4" s="335"/>
      <c r="S4" s="336"/>
      <c r="T4" s="337"/>
      <c r="U4" s="337"/>
      <c r="V4" s="337"/>
      <c r="W4" s="337"/>
      <c r="X4" s="337"/>
      <c r="Y4" s="337"/>
      <c r="Z4" s="337"/>
      <c r="AA4" s="337"/>
      <c r="AB4" s="337"/>
      <c r="AC4" s="337"/>
      <c r="AD4" s="337"/>
      <c r="AE4" s="338" t="s">
        <v>5</v>
      </c>
      <c r="AF4" s="337"/>
    </row>
    <row r="5" spans="1:36" s="331" customFormat="1" ht="15" customHeight="1" x14ac:dyDescent="0.2">
      <c r="A5" s="665" t="s">
        <v>6</v>
      </c>
      <c r="B5" s="668" t="s">
        <v>82</v>
      </c>
      <c r="C5" s="669"/>
      <c r="D5" s="674" t="s">
        <v>8</v>
      </c>
      <c r="E5" s="675"/>
      <c r="F5" s="678" t="s">
        <v>9</v>
      </c>
      <c r="G5" s="678" t="s">
        <v>164</v>
      </c>
      <c r="H5" s="665" t="s">
        <v>10</v>
      </c>
      <c r="I5" s="684" t="s">
        <v>83</v>
      </c>
      <c r="J5" s="707" t="s">
        <v>84</v>
      </c>
      <c r="K5" s="708"/>
      <c r="L5" s="708"/>
      <c r="M5" s="709"/>
      <c r="N5" s="700" t="s">
        <v>85</v>
      </c>
      <c r="O5" s="701"/>
      <c r="P5" s="701"/>
      <c r="Q5" s="701"/>
      <c r="R5" s="701"/>
      <c r="S5" s="701"/>
      <c r="T5" s="701"/>
      <c r="U5" s="701"/>
      <c r="V5" s="701"/>
      <c r="W5" s="701"/>
      <c r="X5" s="701"/>
      <c r="Y5" s="701"/>
      <c r="Z5" s="701"/>
      <c r="AA5" s="702"/>
      <c r="AB5" s="688" t="s">
        <v>345</v>
      </c>
      <c r="AC5" s="688" t="s">
        <v>306</v>
      </c>
      <c r="AD5" s="688" t="s">
        <v>86</v>
      </c>
      <c r="AE5" s="700" t="s">
        <v>87</v>
      </c>
      <c r="AF5" s="701"/>
      <c r="AG5" s="702"/>
      <c r="AH5" s="681" t="s">
        <v>344</v>
      </c>
      <c r="AI5" s="724" t="s">
        <v>116</v>
      </c>
    </row>
    <row r="6" spans="1:36" s="331" customFormat="1" ht="27" customHeight="1" x14ac:dyDescent="0.2">
      <c r="A6" s="666"/>
      <c r="B6" s="670"/>
      <c r="C6" s="671"/>
      <c r="D6" s="676"/>
      <c r="E6" s="677"/>
      <c r="F6" s="679"/>
      <c r="G6" s="679"/>
      <c r="H6" s="666"/>
      <c r="I6" s="706"/>
      <c r="J6" s="684" t="s">
        <v>12</v>
      </c>
      <c r="K6" s="537"/>
      <c r="L6" s="686" t="s">
        <v>13</v>
      </c>
      <c r="M6" s="688" t="s">
        <v>89</v>
      </c>
      <c r="N6" s="690" t="s">
        <v>90</v>
      </c>
      <c r="O6" s="691"/>
      <c r="P6" s="690" t="s">
        <v>91</v>
      </c>
      <c r="Q6" s="692"/>
      <c r="R6" s="691"/>
      <c r="S6" s="690" t="s">
        <v>92</v>
      </c>
      <c r="T6" s="692"/>
      <c r="U6" s="691"/>
      <c r="V6" s="693" t="s">
        <v>107</v>
      </c>
      <c r="W6" s="694"/>
      <c r="X6" s="695"/>
      <c r="Y6" s="696" t="s">
        <v>93</v>
      </c>
      <c r="Z6" s="697"/>
      <c r="AA6" s="698"/>
      <c r="AB6" s="699"/>
      <c r="AC6" s="699"/>
      <c r="AD6" s="699"/>
      <c r="AE6" s="703" t="s">
        <v>94</v>
      </c>
      <c r="AF6" s="684" t="s">
        <v>95</v>
      </c>
      <c r="AG6" s="684" t="s">
        <v>96</v>
      </c>
      <c r="AH6" s="682"/>
      <c r="AI6" s="724"/>
    </row>
    <row r="7" spans="1:36" s="331" customFormat="1" ht="36.75" customHeight="1" x14ac:dyDescent="0.2">
      <c r="A7" s="667"/>
      <c r="B7" s="672"/>
      <c r="C7" s="673"/>
      <c r="D7" s="339" t="s">
        <v>17</v>
      </c>
      <c r="E7" s="339" t="s">
        <v>18</v>
      </c>
      <c r="F7" s="680"/>
      <c r="G7" s="680"/>
      <c r="H7" s="667"/>
      <c r="I7" s="685"/>
      <c r="J7" s="685"/>
      <c r="K7" s="538"/>
      <c r="L7" s="687"/>
      <c r="M7" s="689"/>
      <c r="N7" s="340" t="s">
        <v>97</v>
      </c>
      <c r="O7" s="539" t="s">
        <v>98</v>
      </c>
      <c r="P7" s="539" t="s">
        <v>99</v>
      </c>
      <c r="Q7" s="535" t="s">
        <v>13</v>
      </c>
      <c r="R7" s="539" t="s">
        <v>98</v>
      </c>
      <c r="S7" s="533" t="s">
        <v>99</v>
      </c>
      <c r="T7" s="539" t="s">
        <v>13</v>
      </c>
      <c r="U7" s="539" t="s">
        <v>98</v>
      </c>
      <c r="V7" s="533" t="s">
        <v>100</v>
      </c>
      <c r="W7" s="341" t="s">
        <v>13</v>
      </c>
      <c r="X7" s="539" t="s">
        <v>98</v>
      </c>
      <c r="Y7" s="533" t="s">
        <v>100</v>
      </c>
      <c r="Z7" s="341" t="s">
        <v>13</v>
      </c>
      <c r="AA7" s="539" t="s">
        <v>98</v>
      </c>
      <c r="AB7" s="689"/>
      <c r="AC7" s="689"/>
      <c r="AD7" s="689"/>
      <c r="AE7" s="704"/>
      <c r="AF7" s="685"/>
      <c r="AG7" s="685"/>
      <c r="AH7" s="683"/>
      <c r="AI7" s="724"/>
    </row>
    <row r="8" spans="1:36" s="331" customFormat="1" ht="38.25" customHeight="1" x14ac:dyDescent="0.2">
      <c r="A8" s="342" t="s">
        <v>101</v>
      </c>
      <c r="B8" s="710" t="s">
        <v>102</v>
      </c>
      <c r="C8" s="711"/>
      <c r="D8" s="536" t="s">
        <v>103</v>
      </c>
      <c r="E8" s="536" t="s">
        <v>104</v>
      </c>
      <c r="F8" s="536" t="s">
        <v>133</v>
      </c>
      <c r="G8" s="536"/>
      <c r="H8" s="342" t="s">
        <v>103</v>
      </c>
      <c r="I8" s="343" t="s">
        <v>134</v>
      </c>
      <c r="J8" s="343" t="s">
        <v>135</v>
      </c>
      <c r="K8" s="343"/>
      <c r="L8" s="342">
        <v>1</v>
      </c>
      <c r="M8" s="344" t="s">
        <v>105</v>
      </c>
      <c r="N8" s="344">
        <v>3</v>
      </c>
      <c r="O8" s="344" t="s">
        <v>106</v>
      </c>
      <c r="P8" s="345">
        <v>5</v>
      </c>
      <c r="Q8" s="345">
        <v>6</v>
      </c>
      <c r="R8" s="344" t="s">
        <v>136</v>
      </c>
      <c r="S8" s="345">
        <v>8</v>
      </c>
      <c r="T8" s="344" t="s">
        <v>137</v>
      </c>
      <c r="U8" s="344" t="s">
        <v>138</v>
      </c>
      <c r="V8" s="344">
        <v>11</v>
      </c>
      <c r="W8" s="346" t="s">
        <v>139</v>
      </c>
      <c r="X8" s="344" t="s">
        <v>140</v>
      </c>
      <c r="Y8" s="347">
        <v>14</v>
      </c>
      <c r="Z8" s="348" t="s">
        <v>141</v>
      </c>
      <c r="AA8" s="344" t="s">
        <v>142</v>
      </c>
      <c r="AB8" s="344" t="s">
        <v>143</v>
      </c>
      <c r="AC8" s="547">
        <v>18</v>
      </c>
      <c r="AD8" s="547">
        <v>19</v>
      </c>
      <c r="AE8" s="349" t="s">
        <v>346</v>
      </c>
      <c r="AF8" s="344" t="s">
        <v>347</v>
      </c>
      <c r="AG8" s="344" t="s">
        <v>349</v>
      </c>
      <c r="AH8" s="344" t="s">
        <v>348</v>
      </c>
      <c r="AI8" s="541">
        <v>24</v>
      </c>
    </row>
    <row r="9" spans="1:36" s="331" customFormat="1" ht="21.75" hidden="1" customHeight="1" x14ac:dyDescent="0.2">
      <c r="A9" s="350" t="str">
        <f>IF(B9&lt;&gt;"",COUNTA($B$9:B9),"")</f>
        <v/>
      </c>
      <c r="B9" s="351"/>
      <c r="C9" s="352"/>
      <c r="D9" s="350">
        <v>1962</v>
      </c>
      <c r="E9" s="350"/>
      <c r="F9" s="350">
        <v>1988</v>
      </c>
      <c r="G9" s="353">
        <v>5700215006419</v>
      </c>
      <c r="H9" s="354"/>
      <c r="I9" s="355"/>
      <c r="J9" s="355" t="s">
        <v>22</v>
      </c>
      <c r="K9" s="355"/>
      <c r="L9" s="356"/>
      <c r="M9" s="357">
        <f>ROUND(L9*1490000,0)</f>
        <v>0</v>
      </c>
      <c r="N9" s="356"/>
      <c r="O9" s="358">
        <f>ROUND(N9*1490000,0)</f>
        <v>0</v>
      </c>
      <c r="P9" s="356"/>
      <c r="Q9" s="356"/>
      <c r="R9" s="358">
        <f>ROUND(Q9*1490000,0)</f>
        <v>0</v>
      </c>
      <c r="S9" s="359"/>
      <c r="T9" s="356"/>
      <c r="U9" s="358">
        <f>T9*1490000</f>
        <v>0</v>
      </c>
      <c r="V9" s="359"/>
      <c r="W9" s="356">
        <f>(L9+N9+T9)*V9</f>
        <v>0</v>
      </c>
      <c r="X9" s="357">
        <f>ROUND(W9*1490000,0)</f>
        <v>0</v>
      </c>
      <c r="Y9" s="357"/>
      <c r="Z9" s="358"/>
      <c r="AA9" s="358">
        <f>ROUND(Z9*1490000,0)</f>
        <v>0</v>
      </c>
      <c r="AB9" s="360">
        <f t="shared" ref="AB9:AB34" si="0">M9+O9+R9+U9+X9+AA9</f>
        <v>0</v>
      </c>
      <c r="AC9" s="360"/>
      <c r="AD9" s="360"/>
      <c r="AE9" s="360">
        <f t="shared" ref="AE9:AE14" si="1">ROUND((M9+O9+U9+AA9)*1.5%,0)</f>
        <v>0</v>
      </c>
      <c r="AF9" s="361">
        <f t="shared" ref="AF9:AF21" si="2">ROUND((M9+O9+U9+AA9)*8%,0)</f>
        <v>0</v>
      </c>
      <c r="AG9" s="361">
        <f>AE9+AF9</f>
        <v>0</v>
      </c>
      <c r="AH9" s="361">
        <f t="shared" ref="AH9:AH21" si="3">AB9-AG9</f>
        <v>0</v>
      </c>
      <c r="AI9" s="544"/>
      <c r="AJ9" s="337"/>
    </row>
    <row r="10" spans="1:36" s="331" customFormat="1" ht="21.75" hidden="1" customHeight="1" x14ac:dyDescent="0.2">
      <c r="A10" s="362">
        <f>IF(B10&lt;&gt;"",COUNTA($B$9:B10),"")</f>
        <v>1</v>
      </c>
      <c r="B10" s="363" t="s">
        <v>227</v>
      </c>
      <c r="C10" s="364" t="s">
        <v>228</v>
      </c>
      <c r="D10" s="362">
        <v>1962</v>
      </c>
      <c r="E10" s="362"/>
      <c r="F10" s="362">
        <v>1985</v>
      </c>
      <c r="G10" s="365">
        <v>5700205047714</v>
      </c>
      <c r="H10" s="366" t="s">
        <v>24</v>
      </c>
      <c r="I10" s="367" t="s">
        <v>21</v>
      </c>
      <c r="J10" s="367" t="s">
        <v>25</v>
      </c>
      <c r="K10" s="367"/>
      <c r="L10" s="368"/>
      <c r="M10" s="369">
        <f>ROUND(L10*1490000,0)</f>
        <v>0</v>
      </c>
      <c r="N10" s="368">
        <f>0.9-0.2</f>
        <v>0.7</v>
      </c>
      <c r="O10" s="370">
        <f t="shared" ref="O10:O34" si="4">ROUND(N10*1490000,0)</f>
        <v>1043000</v>
      </c>
      <c r="P10" s="368"/>
      <c r="Q10" s="447"/>
      <c r="R10" s="370">
        <f t="shared" ref="R10:R34" si="5">ROUND(Q10*1490000,0)</f>
        <v>0</v>
      </c>
      <c r="S10" s="371"/>
      <c r="T10" s="447"/>
      <c r="U10" s="370">
        <f t="shared" ref="U10:U34" si="6">T10*1490000</f>
        <v>0</v>
      </c>
      <c r="V10" s="371">
        <v>0.25</v>
      </c>
      <c r="W10" s="501">
        <f>(L10+N10+T10)*V10</f>
        <v>0.17499999999999999</v>
      </c>
      <c r="X10" s="369">
        <f>ROUND(W10*1490000,0)</f>
        <v>260750</v>
      </c>
      <c r="Y10" s="369"/>
      <c r="Z10" s="372"/>
      <c r="AA10" s="370">
        <f t="shared" ref="AA10:AA34" si="7">ROUND(Z10*1490000,0)</f>
        <v>0</v>
      </c>
      <c r="AB10" s="373">
        <f t="shared" si="0"/>
        <v>1303750</v>
      </c>
      <c r="AC10" s="373"/>
      <c r="AD10" s="373"/>
      <c r="AE10" s="373">
        <f t="shared" si="1"/>
        <v>15645</v>
      </c>
      <c r="AF10" s="374">
        <f t="shared" si="2"/>
        <v>83440</v>
      </c>
      <c r="AG10" s="374">
        <f t="shared" ref="AG10:AG34" si="8">AE10+AF10</f>
        <v>99085</v>
      </c>
      <c r="AH10" s="374">
        <f t="shared" si="3"/>
        <v>1204665</v>
      </c>
      <c r="AI10" s="544"/>
      <c r="AJ10" s="337"/>
    </row>
    <row r="11" spans="1:36" s="331" customFormat="1" ht="21.75" hidden="1" customHeight="1" x14ac:dyDescent="0.2">
      <c r="A11" s="362">
        <f>IF(B11&lt;&gt;"",COUNTA($B$9:B11),"")</f>
        <v>2</v>
      </c>
      <c r="B11" s="363" t="s">
        <v>229</v>
      </c>
      <c r="C11" s="364" t="s">
        <v>230</v>
      </c>
      <c r="D11" s="362">
        <v>1967</v>
      </c>
      <c r="E11" s="362"/>
      <c r="F11" s="375">
        <v>1991</v>
      </c>
      <c r="G11" s="365">
        <v>5700205728799</v>
      </c>
      <c r="H11" s="366" t="s">
        <v>24</v>
      </c>
      <c r="I11" s="522" t="s">
        <v>21</v>
      </c>
      <c r="J11" s="367" t="s">
        <v>22</v>
      </c>
      <c r="K11" s="367"/>
      <c r="L11" s="368"/>
      <c r="M11" s="369">
        <f t="shared" ref="M11:M34" si="9">ROUND(L11*1490000,0)</f>
        <v>0</v>
      </c>
      <c r="N11" s="368">
        <v>0.9</v>
      </c>
      <c r="O11" s="370">
        <f t="shared" si="4"/>
        <v>1341000</v>
      </c>
      <c r="P11" s="368"/>
      <c r="Q11" s="447"/>
      <c r="R11" s="370">
        <f t="shared" si="5"/>
        <v>0</v>
      </c>
      <c r="S11" s="371"/>
      <c r="T11" s="447"/>
      <c r="U11" s="370">
        <f t="shared" si="6"/>
        <v>0</v>
      </c>
      <c r="V11" s="371">
        <v>0.25</v>
      </c>
      <c r="W11" s="501">
        <f t="shared" ref="W11:W34" si="10">(L11+N11+T11)*V11</f>
        <v>0.22500000000000001</v>
      </c>
      <c r="X11" s="369">
        <f t="shared" ref="X11:X34" si="11">ROUND(W11*1490000,0)</f>
        <v>335250</v>
      </c>
      <c r="Y11" s="369"/>
      <c r="Z11" s="372"/>
      <c r="AA11" s="370">
        <f t="shared" si="7"/>
        <v>0</v>
      </c>
      <c r="AB11" s="373">
        <f t="shared" si="0"/>
        <v>1676250</v>
      </c>
      <c r="AC11" s="373"/>
      <c r="AD11" s="373"/>
      <c r="AE11" s="373">
        <f t="shared" si="1"/>
        <v>20115</v>
      </c>
      <c r="AF11" s="374">
        <f t="shared" si="2"/>
        <v>107280</v>
      </c>
      <c r="AG11" s="374">
        <f t="shared" si="8"/>
        <v>127395</v>
      </c>
      <c r="AH11" s="374">
        <f t="shared" si="3"/>
        <v>1548855</v>
      </c>
      <c r="AI11" s="544"/>
      <c r="AJ11" s="337"/>
    </row>
    <row r="12" spans="1:36" s="331" customFormat="1" ht="21.75" hidden="1" customHeight="1" x14ac:dyDescent="0.2">
      <c r="A12" s="362">
        <f>IF(B12&lt;&gt;"",COUNTA($B$9:B12),"")</f>
        <v>3</v>
      </c>
      <c r="B12" s="363" t="s">
        <v>298</v>
      </c>
      <c r="C12" s="364" t="s">
        <v>228</v>
      </c>
      <c r="D12" s="362"/>
      <c r="E12" s="362"/>
      <c r="F12" s="375"/>
      <c r="G12" s="376" t="s">
        <v>302</v>
      </c>
      <c r="H12" s="366" t="s">
        <v>24</v>
      </c>
      <c r="I12" s="377" t="s">
        <v>43</v>
      </c>
      <c r="J12" s="367"/>
      <c r="K12" s="367"/>
      <c r="L12" s="368"/>
      <c r="M12" s="369">
        <f t="shared" si="9"/>
        <v>0</v>
      </c>
      <c r="N12" s="368">
        <v>0.7</v>
      </c>
      <c r="O12" s="370">
        <f t="shared" si="4"/>
        <v>1043000</v>
      </c>
      <c r="P12" s="368"/>
      <c r="Q12" s="447"/>
      <c r="R12" s="370"/>
      <c r="S12" s="371"/>
      <c r="T12" s="447"/>
      <c r="U12" s="370"/>
      <c r="V12" s="371">
        <v>0.25</v>
      </c>
      <c r="W12" s="501">
        <f>(L12+N12+T12)*V12</f>
        <v>0.17499999999999999</v>
      </c>
      <c r="X12" s="369">
        <f t="shared" si="11"/>
        <v>260750</v>
      </c>
      <c r="Y12" s="369"/>
      <c r="Z12" s="372"/>
      <c r="AA12" s="370">
        <f t="shared" si="7"/>
        <v>0</v>
      </c>
      <c r="AB12" s="373">
        <f t="shared" si="0"/>
        <v>1303750</v>
      </c>
      <c r="AC12" s="373"/>
      <c r="AD12" s="373"/>
      <c r="AE12" s="373">
        <f t="shared" si="1"/>
        <v>15645</v>
      </c>
      <c r="AF12" s="374">
        <f t="shared" si="2"/>
        <v>83440</v>
      </c>
      <c r="AG12" s="374">
        <f t="shared" si="8"/>
        <v>99085</v>
      </c>
      <c r="AH12" s="374">
        <f t="shared" si="3"/>
        <v>1204665</v>
      </c>
      <c r="AI12" s="544"/>
      <c r="AJ12" s="337"/>
    </row>
    <row r="13" spans="1:36" s="331" customFormat="1" ht="21.75" hidden="1" customHeight="1" x14ac:dyDescent="0.2">
      <c r="A13" s="362">
        <f>IF(B13&lt;&gt;"",COUNTA($B$9:B13),"")</f>
        <v>4</v>
      </c>
      <c r="B13" s="363" t="s">
        <v>231</v>
      </c>
      <c r="C13" s="364" t="s">
        <v>232</v>
      </c>
      <c r="D13" s="362"/>
      <c r="E13" s="362">
        <v>1967</v>
      </c>
      <c r="F13" s="362">
        <v>1988</v>
      </c>
      <c r="G13" s="365">
        <v>5700205029679</v>
      </c>
      <c r="H13" s="366" t="s">
        <v>29</v>
      </c>
      <c r="I13" s="367" t="s">
        <v>21</v>
      </c>
      <c r="J13" s="367" t="s">
        <v>30</v>
      </c>
      <c r="K13" s="367"/>
      <c r="L13" s="368"/>
      <c r="M13" s="369">
        <f t="shared" si="9"/>
        <v>0</v>
      </c>
      <c r="N13" s="368"/>
      <c r="O13" s="370">
        <f>ROUND(N13*1490000,0)</f>
        <v>0</v>
      </c>
      <c r="P13" s="371"/>
      <c r="Q13" s="447"/>
      <c r="R13" s="370">
        <f t="shared" si="5"/>
        <v>0</v>
      </c>
      <c r="S13" s="371"/>
      <c r="T13" s="447"/>
      <c r="U13" s="370">
        <f t="shared" si="6"/>
        <v>0</v>
      </c>
      <c r="V13" s="371">
        <v>0.25</v>
      </c>
      <c r="W13" s="501">
        <f t="shared" si="10"/>
        <v>0</v>
      </c>
      <c r="X13" s="369">
        <f t="shared" si="11"/>
        <v>0</v>
      </c>
      <c r="Y13" s="369"/>
      <c r="Z13" s="372"/>
      <c r="AA13" s="370">
        <f t="shared" si="7"/>
        <v>0</v>
      </c>
      <c r="AB13" s="373">
        <f t="shared" si="0"/>
        <v>0</v>
      </c>
      <c r="AC13" s="373"/>
      <c r="AD13" s="373"/>
      <c r="AE13" s="373">
        <f t="shared" si="1"/>
        <v>0</v>
      </c>
      <c r="AF13" s="374">
        <f t="shared" si="2"/>
        <v>0</v>
      </c>
      <c r="AG13" s="374">
        <f t="shared" si="8"/>
        <v>0</v>
      </c>
      <c r="AH13" s="374">
        <f t="shared" si="3"/>
        <v>0</v>
      </c>
      <c r="AI13" s="544"/>
      <c r="AJ13" s="337"/>
    </row>
    <row r="14" spans="1:36" s="331" customFormat="1" ht="21.75" hidden="1" customHeight="1" x14ac:dyDescent="0.2">
      <c r="A14" s="362">
        <f>IF(B14&lt;&gt;"",COUNTA($B$9:B14),"")</f>
        <v>5</v>
      </c>
      <c r="B14" s="363" t="s">
        <v>233</v>
      </c>
      <c r="C14" s="364" t="s">
        <v>234</v>
      </c>
      <c r="D14" s="362"/>
      <c r="E14" s="362">
        <v>1968</v>
      </c>
      <c r="F14" s="362">
        <v>1994</v>
      </c>
      <c r="G14" s="365">
        <v>5700205047772</v>
      </c>
      <c r="H14" s="366" t="s">
        <v>32</v>
      </c>
      <c r="I14" s="367" t="s">
        <v>21</v>
      </c>
      <c r="J14" s="367" t="s">
        <v>30</v>
      </c>
      <c r="K14" s="367"/>
      <c r="L14" s="368"/>
      <c r="M14" s="369">
        <f t="shared" si="9"/>
        <v>0</v>
      </c>
      <c r="N14" s="368">
        <v>0.5</v>
      </c>
      <c r="O14" s="370">
        <f t="shared" si="4"/>
        <v>745000</v>
      </c>
      <c r="P14" s="371"/>
      <c r="Q14" s="447"/>
      <c r="R14" s="370">
        <f t="shared" si="5"/>
        <v>0</v>
      </c>
      <c r="S14" s="371"/>
      <c r="T14" s="447"/>
      <c r="U14" s="370">
        <f t="shared" si="6"/>
        <v>0</v>
      </c>
      <c r="V14" s="371">
        <v>0.25</v>
      </c>
      <c r="W14" s="501">
        <f t="shared" si="10"/>
        <v>0.125</v>
      </c>
      <c r="X14" s="369">
        <f t="shared" si="11"/>
        <v>186250</v>
      </c>
      <c r="Y14" s="369"/>
      <c r="Z14" s="372"/>
      <c r="AA14" s="370">
        <f t="shared" si="7"/>
        <v>0</v>
      </c>
      <c r="AB14" s="373">
        <f t="shared" si="0"/>
        <v>931250</v>
      </c>
      <c r="AC14" s="373"/>
      <c r="AD14" s="373"/>
      <c r="AE14" s="373">
        <f t="shared" si="1"/>
        <v>11175</v>
      </c>
      <c r="AF14" s="374">
        <f t="shared" si="2"/>
        <v>59600</v>
      </c>
      <c r="AG14" s="374">
        <f t="shared" si="8"/>
        <v>70775</v>
      </c>
      <c r="AH14" s="374">
        <f t="shared" si="3"/>
        <v>860475</v>
      </c>
      <c r="AI14" s="544"/>
      <c r="AJ14" s="337"/>
    </row>
    <row r="15" spans="1:36" s="439" customFormat="1" ht="21.75" hidden="1" customHeight="1" x14ac:dyDescent="0.2">
      <c r="A15" s="425">
        <f>IF(B15&lt;&gt;"",COUNTA($B$9:B15),"")</f>
        <v>6</v>
      </c>
      <c r="B15" s="426" t="s">
        <v>235</v>
      </c>
      <c r="C15" s="427" t="s">
        <v>236</v>
      </c>
      <c r="D15" s="425">
        <v>1965</v>
      </c>
      <c r="E15" s="425"/>
      <c r="F15" s="425">
        <v>1984</v>
      </c>
      <c r="G15" s="441">
        <v>5700205047795</v>
      </c>
      <c r="H15" s="429" t="s">
        <v>34</v>
      </c>
      <c r="I15" s="430" t="s">
        <v>35</v>
      </c>
      <c r="J15" s="430" t="s">
        <v>36</v>
      </c>
      <c r="K15" s="430"/>
      <c r="L15" s="431"/>
      <c r="M15" s="432">
        <f t="shared" si="9"/>
        <v>0</v>
      </c>
      <c r="N15" s="431"/>
      <c r="O15" s="433">
        <f t="shared" si="4"/>
        <v>0</v>
      </c>
      <c r="P15" s="434"/>
      <c r="Q15" s="435"/>
      <c r="R15" s="433">
        <f t="shared" si="5"/>
        <v>0</v>
      </c>
      <c r="S15" s="434">
        <v>0.17</v>
      </c>
      <c r="T15" s="435">
        <f>S15*L15</f>
        <v>0</v>
      </c>
      <c r="U15" s="433">
        <f>T15*1490000</f>
        <v>0</v>
      </c>
      <c r="V15" s="434">
        <v>0.25</v>
      </c>
      <c r="W15" s="502">
        <f t="shared" si="10"/>
        <v>0</v>
      </c>
      <c r="X15" s="432">
        <f t="shared" si="11"/>
        <v>0</v>
      </c>
      <c r="Y15" s="432"/>
      <c r="Z15" s="436"/>
      <c r="AA15" s="433">
        <f t="shared" si="7"/>
        <v>0</v>
      </c>
      <c r="AB15" s="437">
        <f t="shared" si="0"/>
        <v>0</v>
      </c>
      <c r="AC15" s="437"/>
      <c r="AD15" s="437"/>
      <c r="AE15" s="437">
        <f>ROUND((M15+O15+U15+AA15)*1.5%,0)-1</f>
        <v>-1</v>
      </c>
      <c r="AF15" s="438">
        <f t="shared" si="2"/>
        <v>0</v>
      </c>
      <c r="AG15" s="438">
        <f t="shared" si="8"/>
        <v>-1</v>
      </c>
      <c r="AH15" s="438">
        <f t="shared" si="3"/>
        <v>1</v>
      </c>
      <c r="AI15" s="545"/>
      <c r="AJ15" s="442"/>
    </row>
    <row r="16" spans="1:36" s="439" customFormat="1" ht="21.75" hidden="1" customHeight="1" x14ac:dyDescent="0.2">
      <c r="A16" s="425">
        <f>IF(B16&lt;&gt;"",COUNTA($B$9:B16),"")</f>
        <v>7</v>
      </c>
      <c r="B16" s="426" t="s">
        <v>237</v>
      </c>
      <c r="C16" s="427" t="s">
        <v>238</v>
      </c>
      <c r="D16" s="425">
        <v>1966</v>
      </c>
      <c r="E16" s="425"/>
      <c r="F16" s="425">
        <v>1995</v>
      </c>
      <c r="G16" s="441">
        <v>5700205047822</v>
      </c>
      <c r="H16" s="429" t="s">
        <v>38</v>
      </c>
      <c r="I16" s="430" t="s">
        <v>39</v>
      </c>
      <c r="J16" s="430" t="s">
        <v>40</v>
      </c>
      <c r="K16" s="430"/>
      <c r="L16" s="431"/>
      <c r="M16" s="432">
        <f t="shared" si="9"/>
        <v>0</v>
      </c>
      <c r="N16" s="431"/>
      <c r="O16" s="433">
        <f>ROUND(N16*1490000,0)</f>
        <v>0</v>
      </c>
      <c r="P16" s="434">
        <v>0.25</v>
      </c>
      <c r="Q16" s="435">
        <f>(L16+N16+T16)*P16</f>
        <v>0</v>
      </c>
      <c r="R16" s="433">
        <f t="shared" si="5"/>
        <v>0</v>
      </c>
      <c r="S16" s="434"/>
      <c r="T16" s="435"/>
      <c r="U16" s="433">
        <f t="shared" si="6"/>
        <v>0</v>
      </c>
      <c r="V16" s="434">
        <v>0.25</v>
      </c>
      <c r="W16" s="502">
        <f t="shared" si="10"/>
        <v>0</v>
      </c>
      <c r="X16" s="369">
        <f t="shared" si="11"/>
        <v>0</v>
      </c>
      <c r="Y16" s="434">
        <v>0.2</v>
      </c>
      <c r="Z16" s="436">
        <f>(L16+N16+T16)*Y16</f>
        <v>0</v>
      </c>
      <c r="AA16" s="433">
        <f t="shared" si="7"/>
        <v>0</v>
      </c>
      <c r="AB16" s="437">
        <f>M16+O16+R16+U16+X16+AA16</f>
        <v>0</v>
      </c>
      <c r="AC16" s="437"/>
      <c r="AD16" s="437"/>
      <c r="AE16" s="437">
        <f>ROUND((M16+O16+U16+AA16)*1.5%,0)-1</f>
        <v>-1</v>
      </c>
      <c r="AF16" s="438">
        <f t="shared" si="2"/>
        <v>0</v>
      </c>
      <c r="AG16" s="438">
        <f t="shared" si="8"/>
        <v>-1</v>
      </c>
      <c r="AH16" s="438">
        <f t="shared" si="3"/>
        <v>1</v>
      </c>
      <c r="AI16" s="545"/>
      <c r="AJ16" s="442"/>
    </row>
    <row r="17" spans="1:35" s="439" customFormat="1" hidden="1" x14ac:dyDescent="0.2">
      <c r="A17" s="425">
        <f>IF(B17&lt;&gt;"",COUNTA($B$9:B17),"")</f>
        <v>8</v>
      </c>
      <c r="B17" s="426" t="s">
        <v>239</v>
      </c>
      <c r="C17" s="427" t="s">
        <v>240</v>
      </c>
      <c r="D17" s="425">
        <v>1964</v>
      </c>
      <c r="E17" s="425"/>
      <c r="F17" s="425">
        <v>1986</v>
      </c>
      <c r="G17" s="441">
        <v>5700205047874</v>
      </c>
      <c r="H17" s="429" t="s">
        <v>46</v>
      </c>
      <c r="I17" s="430" t="s">
        <v>43</v>
      </c>
      <c r="J17" s="430" t="s">
        <v>44</v>
      </c>
      <c r="K17" s="430"/>
      <c r="L17" s="431"/>
      <c r="M17" s="432">
        <f t="shared" si="9"/>
        <v>0</v>
      </c>
      <c r="N17" s="431"/>
      <c r="O17" s="433">
        <f t="shared" si="4"/>
        <v>0</v>
      </c>
      <c r="P17" s="434"/>
      <c r="Q17" s="435"/>
      <c r="R17" s="433">
        <f t="shared" si="5"/>
        <v>0</v>
      </c>
      <c r="S17" s="434">
        <v>0.06</v>
      </c>
      <c r="T17" s="435">
        <f>S17*L17</f>
        <v>0</v>
      </c>
      <c r="U17" s="433">
        <f t="shared" si="6"/>
        <v>0</v>
      </c>
      <c r="V17" s="434">
        <v>0.25</v>
      </c>
      <c r="W17" s="502">
        <f t="shared" si="10"/>
        <v>0</v>
      </c>
      <c r="X17" s="432">
        <f t="shared" si="11"/>
        <v>0</v>
      </c>
      <c r="Y17" s="432"/>
      <c r="Z17" s="436"/>
      <c r="AA17" s="433">
        <f t="shared" si="7"/>
        <v>0</v>
      </c>
      <c r="AB17" s="437">
        <f>M17+O17+R17+U17+X17+AA17</f>
        <v>0</v>
      </c>
      <c r="AC17" s="437"/>
      <c r="AD17" s="437"/>
      <c r="AE17" s="437">
        <f>ROUND((M17+O17+U17+AA17)*1.5%,0)</f>
        <v>0</v>
      </c>
      <c r="AF17" s="438">
        <f t="shared" si="2"/>
        <v>0</v>
      </c>
      <c r="AG17" s="438">
        <f t="shared" si="8"/>
        <v>0</v>
      </c>
      <c r="AH17" s="438">
        <f t="shared" si="3"/>
        <v>0</v>
      </c>
      <c r="AI17" s="545"/>
    </row>
    <row r="18" spans="1:35" s="439" customFormat="1" hidden="1" x14ac:dyDescent="0.2">
      <c r="A18" s="425">
        <f>IF(B18&lt;&gt;"",COUNTA($B$9:B18),"")</f>
        <v>9</v>
      </c>
      <c r="B18" s="426" t="s">
        <v>227</v>
      </c>
      <c r="C18" s="427" t="s">
        <v>241</v>
      </c>
      <c r="D18" s="425">
        <v>1964</v>
      </c>
      <c r="E18" s="425"/>
      <c r="F18" s="425">
        <v>1985</v>
      </c>
      <c r="G18" s="376">
        <v>5700205732688</v>
      </c>
      <c r="H18" s="429" t="s">
        <v>42</v>
      </c>
      <c r="I18" s="430" t="s">
        <v>43</v>
      </c>
      <c r="J18" s="430" t="s">
        <v>44</v>
      </c>
      <c r="K18" s="430"/>
      <c r="L18" s="431"/>
      <c r="M18" s="432">
        <f t="shared" si="9"/>
        <v>0</v>
      </c>
      <c r="N18" s="431">
        <v>0.3</v>
      </c>
      <c r="O18" s="433">
        <f t="shared" si="4"/>
        <v>447000</v>
      </c>
      <c r="P18" s="434"/>
      <c r="Q18" s="435"/>
      <c r="R18" s="433">
        <f t="shared" si="5"/>
        <v>0</v>
      </c>
      <c r="S18" s="434">
        <v>0.09</v>
      </c>
      <c r="T18" s="435">
        <f>S18*L18</f>
        <v>0</v>
      </c>
      <c r="U18" s="433">
        <f>T18*1490000</f>
        <v>0</v>
      </c>
      <c r="V18" s="434">
        <v>0.25</v>
      </c>
      <c r="W18" s="502">
        <f>(L18+N18+T18)*V18</f>
        <v>7.4999999999999997E-2</v>
      </c>
      <c r="X18" s="432">
        <f t="shared" si="11"/>
        <v>111750</v>
      </c>
      <c r="Y18" s="432"/>
      <c r="Z18" s="436"/>
      <c r="AA18" s="433">
        <f t="shared" si="7"/>
        <v>0</v>
      </c>
      <c r="AB18" s="437">
        <f t="shared" si="0"/>
        <v>558750</v>
      </c>
      <c r="AC18" s="437"/>
      <c r="AD18" s="437"/>
      <c r="AE18" s="437">
        <f>ROUND((M18+O18+U18+AA18)*1.5%,0)</f>
        <v>6705</v>
      </c>
      <c r="AF18" s="438">
        <f t="shared" si="2"/>
        <v>35760</v>
      </c>
      <c r="AG18" s="438">
        <f t="shared" si="8"/>
        <v>42465</v>
      </c>
      <c r="AH18" s="438">
        <f t="shared" si="3"/>
        <v>516285</v>
      </c>
      <c r="AI18" s="545"/>
    </row>
    <row r="19" spans="1:35" s="439" customFormat="1" hidden="1" x14ac:dyDescent="0.2">
      <c r="A19" s="425">
        <f>IF(B19&lt;&gt;"",COUNTA($B$9:B19),"")</f>
        <v>10</v>
      </c>
      <c r="B19" s="426" t="s">
        <v>242</v>
      </c>
      <c r="C19" s="427" t="s">
        <v>232</v>
      </c>
      <c r="D19" s="425"/>
      <c r="E19" s="425">
        <v>1971</v>
      </c>
      <c r="F19" s="425">
        <v>1993</v>
      </c>
      <c r="G19" s="441">
        <v>5700205047918</v>
      </c>
      <c r="H19" s="429" t="s">
        <v>49</v>
      </c>
      <c r="I19" s="430" t="s">
        <v>43</v>
      </c>
      <c r="J19" s="430" t="s">
        <v>40</v>
      </c>
      <c r="K19" s="430"/>
      <c r="L19" s="431"/>
      <c r="M19" s="432">
        <f t="shared" si="9"/>
        <v>0</v>
      </c>
      <c r="N19" s="431">
        <v>0.3</v>
      </c>
      <c r="O19" s="433">
        <f t="shared" si="4"/>
        <v>447000</v>
      </c>
      <c r="P19" s="434"/>
      <c r="Q19" s="435"/>
      <c r="R19" s="433">
        <f t="shared" si="5"/>
        <v>0</v>
      </c>
      <c r="S19" s="434"/>
      <c r="T19" s="435"/>
      <c r="U19" s="433">
        <f t="shared" si="6"/>
        <v>0</v>
      </c>
      <c r="V19" s="434">
        <v>0.25</v>
      </c>
      <c r="W19" s="502">
        <f t="shared" si="10"/>
        <v>7.4999999999999997E-2</v>
      </c>
      <c r="X19" s="432">
        <f t="shared" si="11"/>
        <v>111750</v>
      </c>
      <c r="Y19" s="432"/>
      <c r="Z19" s="436"/>
      <c r="AA19" s="433">
        <f t="shared" si="7"/>
        <v>0</v>
      </c>
      <c r="AB19" s="437">
        <f t="shared" si="0"/>
        <v>558750</v>
      </c>
      <c r="AC19" s="437"/>
      <c r="AD19" s="437"/>
      <c r="AE19" s="437">
        <f>ROUND((M19+O19+U19+AA19)*1.5%,0)</f>
        <v>6705</v>
      </c>
      <c r="AF19" s="438">
        <f t="shared" si="2"/>
        <v>35760</v>
      </c>
      <c r="AG19" s="438">
        <f t="shared" si="8"/>
        <v>42465</v>
      </c>
      <c r="AH19" s="438">
        <f t="shared" si="3"/>
        <v>516285</v>
      </c>
      <c r="AI19" s="545"/>
    </row>
    <row r="20" spans="1:35" s="439" customFormat="1" hidden="1" x14ac:dyDescent="0.2">
      <c r="A20" s="425">
        <f>IF(B20&lt;&gt;"",COUNTA($B$9:B20),"")</f>
        <v>11</v>
      </c>
      <c r="B20" s="426" t="s">
        <v>243</v>
      </c>
      <c r="C20" s="427" t="s">
        <v>244</v>
      </c>
      <c r="D20" s="425"/>
      <c r="E20" s="425">
        <v>1974</v>
      </c>
      <c r="F20" s="425">
        <v>2000</v>
      </c>
      <c r="G20" s="441">
        <v>5700205047924</v>
      </c>
      <c r="H20" s="429" t="s">
        <v>46</v>
      </c>
      <c r="I20" s="430" t="s">
        <v>43</v>
      </c>
      <c r="J20" s="430" t="s">
        <v>51</v>
      </c>
      <c r="K20" s="430"/>
      <c r="L20" s="431"/>
      <c r="M20" s="432">
        <f t="shared" si="9"/>
        <v>0</v>
      </c>
      <c r="N20" s="431"/>
      <c r="O20" s="433">
        <f t="shared" si="4"/>
        <v>0</v>
      </c>
      <c r="P20" s="434"/>
      <c r="Q20" s="435"/>
      <c r="R20" s="433">
        <f t="shared" si="5"/>
        <v>0</v>
      </c>
      <c r="S20" s="434"/>
      <c r="T20" s="435"/>
      <c r="U20" s="433">
        <f t="shared" si="6"/>
        <v>0</v>
      </c>
      <c r="V20" s="434">
        <v>0.25</v>
      </c>
      <c r="W20" s="502">
        <f t="shared" si="10"/>
        <v>0</v>
      </c>
      <c r="X20" s="432">
        <f t="shared" si="11"/>
        <v>0</v>
      </c>
      <c r="Y20" s="432"/>
      <c r="Z20" s="436"/>
      <c r="AA20" s="433">
        <f t="shared" si="7"/>
        <v>0</v>
      </c>
      <c r="AB20" s="437">
        <f t="shared" si="0"/>
        <v>0</v>
      </c>
      <c r="AC20" s="437"/>
      <c r="AD20" s="437"/>
      <c r="AE20" s="437">
        <f>ROUND((M20+O20+U20+AA20)*1.5%,0)</f>
        <v>0</v>
      </c>
      <c r="AF20" s="438">
        <f t="shared" si="2"/>
        <v>0</v>
      </c>
      <c r="AG20" s="438">
        <f t="shared" si="8"/>
        <v>0</v>
      </c>
      <c r="AH20" s="438">
        <f t="shared" si="3"/>
        <v>0</v>
      </c>
      <c r="AI20" s="545"/>
    </row>
    <row r="21" spans="1:35" s="439" customFormat="1" hidden="1" x14ac:dyDescent="0.2">
      <c r="A21" s="425">
        <f>IF(B21&lt;&gt;"",COUNTA($B$9:B21),"")</f>
        <v>12</v>
      </c>
      <c r="B21" s="426" t="s">
        <v>245</v>
      </c>
      <c r="C21" s="427" t="s">
        <v>246</v>
      </c>
      <c r="D21" s="425"/>
      <c r="E21" s="425">
        <v>1987</v>
      </c>
      <c r="F21" s="425">
        <v>2013</v>
      </c>
      <c r="G21" s="441">
        <v>5700215008262</v>
      </c>
      <c r="H21" s="429" t="s">
        <v>46</v>
      </c>
      <c r="I21" s="430" t="s">
        <v>43</v>
      </c>
      <c r="J21" s="430" t="s">
        <v>53</v>
      </c>
      <c r="K21" s="430"/>
      <c r="L21" s="431"/>
      <c r="M21" s="432">
        <f t="shared" si="9"/>
        <v>0</v>
      </c>
      <c r="N21" s="431"/>
      <c r="O21" s="433">
        <f t="shared" si="4"/>
        <v>0</v>
      </c>
      <c r="P21" s="434"/>
      <c r="Q21" s="435"/>
      <c r="R21" s="433">
        <f t="shared" si="5"/>
        <v>0</v>
      </c>
      <c r="S21" s="434"/>
      <c r="T21" s="435"/>
      <c r="U21" s="433">
        <f t="shared" si="6"/>
        <v>0</v>
      </c>
      <c r="V21" s="434">
        <v>0.25</v>
      </c>
      <c r="W21" s="502">
        <f t="shared" si="10"/>
        <v>0</v>
      </c>
      <c r="X21" s="369">
        <f t="shared" si="11"/>
        <v>0</v>
      </c>
      <c r="Y21" s="432"/>
      <c r="Z21" s="436"/>
      <c r="AA21" s="433">
        <f t="shared" si="7"/>
        <v>0</v>
      </c>
      <c r="AB21" s="437">
        <f t="shared" si="0"/>
        <v>0</v>
      </c>
      <c r="AC21" s="437"/>
      <c r="AD21" s="437"/>
      <c r="AE21" s="437">
        <f>ROUND((M21+O21+U21+AA21)*1.5%,0)</f>
        <v>0</v>
      </c>
      <c r="AF21" s="438">
        <f t="shared" si="2"/>
        <v>0</v>
      </c>
      <c r="AG21" s="438">
        <f t="shared" si="8"/>
        <v>0</v>
      </c>
      <c r="AH21" s="438">
        <f t="shared" si="3"/>
        <v>0</v>
      </c>
      <c r="AI21" s="545"/>
    </row>
    <row r="22" spans="1:35" s="439" customFormat="1" ht="144" customHeight="1" x14ac:dyDescent="0.2">
      <c r="A22" s="551">
        <v>1</v>
      </c>
      <c r="B22" s="552" t="s">
        <v>247</v>
      </c>
      <c r="C22" s="553" t="s">
        <v>248</v>
      </c>
      <c r="D22" s="551">
        <v>1974</v>
      </c>
      <c r="E22" s="551"/>
      <c r="F22" s="551">
        <v>1999</v>
      </c>
      <c r="G22" s="554">
        <v>5700215016044</v>
      </c>
      <c r="H22" s="555" t="s">
        <v>46</v>
      </c>
      <c r="I22" s="556" t="s">
        <v>43</v>
      </c>
      <c r="J22" s="556" t="s">
        <v>51</v>
      </c>
      <c r="K22" s="556"/>
      <c r="L22" s="557">
        <f>0.33*0</f>
        <v>0</v>
      </c>
      <c r="M22" s="558">
        <f t="shared" si="9"/>
        <v>0</v>
      </c>
      <c r="N22" s="557"/>
      <c r="O22" s="559">
        <f t="shared" si="4"/>
        <v>0</v>
      </c>
      <c r="P22" s="560"/>
      <c r="Q22" s="561"/>
      <c r="R22" s="559">
        <f t="shared" si="5"/>
        <v>0</v>
      </c>
      <c r="S22" s="560"/>
      <c r="T22" s="561"/>
      <c r="U22" s="559">
        <f t="shared" si="6"/>
        <v>0</v>
      </c>
      <c r="V22" s="560"/>
      <c r="W22" s="562">
        <f>(L22+N22+T22)*V22</f>
        <v>0</v>
      </c>
      <c r="X22" s="563">
        <f>ROUND(W22*1490000,0)</f>
        <v>0</v>
      </c>
      <c r="Y22" s="558"/>
      <c r="Z22" s="564"/>
      <c r="AA22" s="559">
        <f t="shared" si="7"/>
        <v>0</v>
      </c>
      <c r="AB22" s="565">
        <f>M22+O22+R22+U22+X22+AA22</f>
        <v>0</v>
      </c>
      <c r="AC22" s="565"/>
      <c r="AD22" s="565">
        <f>AB22*AC22</f>
        <v>0</v>
      </c>
      <c r="AE22" s="565">
        <f>(ROUND((M22+O22+U22+AA22)*1.5%,0)*5)</f>
        <v>0</v>
      </c>
      <c r="AF22" s="566">
        <f>ROUND((M22+O22+U22+AA22)*8%,0)*5</f>
        <v>0</v>
      </c>
      <c r="AG22" s="566">
        <f>AE22+AF22</f>
        <v>0</v>
      </c>
      <c r="AH22" s="566">
        <f>AD22-AG22</f>
        <v>0</v>
      </c>
      <c r="AI22" s="548" t="s">
        <v>352</v>
      </c>
    </row>
    <row r="23" spans="1:35" s="439" customFormat="1" hidden="1" x14ac:dyDescent="0.2">
      <c r="A23" s="425">
        <f>IF(B23&lt;&gt;"",COUNTA($B$9:B23),"")</f>
        <v>14</v>
      </c>
      <c r="B23" s="426" t="s">
        <v>249</v>
      </c>
      <c r="C23" s="427" t="s">
        <v>250</v>
      </c>
      <c r="D23" s="425"/>
      <c r="E23" s="425">
        <v>1984</v>
      </c>
      <c r="F23" s="425">
        <v>2010</v>
      </c>
      <c r="G23" s="441">
        <v>5700205043010</v>
      </c>
      <c r="H23" s="429" t="s">
        <v>275</v>
      </c>
      <c r="I23" s="430" t="s">
        <v>43</v>
      </c>
      <c r="J23" s="430" t="s">
        <v>56</v>
      </c>
      <c r="K23" s="430"/>
      <c r="L23" s="431"/>
      <c r="M23" s="432">
        <f t="shared" si="9"/>
        <v>0</v>
      </c>
      <c r="N23" s="431">
        <v>0.3</v>
      </c>
      <c r="O23" s="433">
        <f t="shared" si="4"/>
        <v>447000</v>
      </c>
      <c r="P23" s="434"/>
      <c r="Q23" s="435">
        <f>0.1+0.1</f>
        <v>0.2</v>
      </c>
      <c r="R23" s="433">
        <f>ROUND(Q23*1490000,0)</f>
        <v>298000</v>
      </c>
      <c r="S23" s="434"/>
      <c r="T23" s="435"/>
      <c r="U23" s="433">
        <f t="shared" si="6"/>
        <v>0</v>
      </c>
      <c r="V23" s="434">
        <v>0.25</v>
      </c>
      <c r="W23" s="502">
        <f t="shared" si="10"/>
        <v>7.4999999999999997E-2</v>
      </c>
      <c r="X23" s="369">
        <f t="shared" si="11"/>
        <v>111750</v>
      </c>
      <c r="Y23" s="432"/>
      <c r="Z23" s="436"/>
      <c r="AA23" s="433">
        <f t="shared" si="7"/>
        <v>0</v>
      </c>
      <c r="AB23" s="437">
        <f t="shared" si="0"/>
        <v>856750</v>
      </c>
      <c r="AC23" s="437"/>
      <c r="AD23" s="437">
        <f t="shared" ref="AD23:AD26" si="12">AB23*AC23</f>
        <v>0</v>
      </c>
      <c r="AE23" s="437">
        <f>ROUND((M23+O23+U23+AA23)*1.5%,0)</f>
        <v>6705</v>
      </c>
      <c r="AF23" s="438">
        <f t="shared" ref="AF23:AF30" si="13">ROUND((M23+O23+U23+AA23)*8%,0)</f>
        <v>35760</v>
      </c>
      <c r="AG23" s="438">
        <f t="shared" si="8"/>
        <v>42465</v>
      </c>
      <c r="AH23" s="438">
        <f t="shared" ref="AH23:AH34" si="14">AB23-AG23</f>
        <v>814285</v>
      </c>
      <c r="AI23" s="549"/>
    </row>
    <row r="24" spans="1:35" s="439" customFormat="1" hidden="1" x14ac:dyDescent="0.2">
      <c r="A24" s="425">
        <f>IF(B24&lt;&gt;"",COUNTA($B$9:B24),"")</f>
        <v>15</v>
      </c>
      <c r="B24" s="426" t="s">
        <v>251</v>
      </c>
      <c r="C24" s="427" t="s">
        <v>252</v>
      </c>
      <c r="D24" s="425"/>
      <c r="E24" s="425">
        <v>1970</v>
      </c>
      <c r="F24" s="425">
        <v>1995</v>
      </c>
      <c r="G24" s="441">
        <v>5700205047816</v>
      </c>
      <c r="H24" s="429" t="s">
        <v>58</v>
      </c>
      <c r="I24" s="430" t="s">
        <v>43</v>
      </c>
      <c r="J24" s="430" t="s">
        <v>44</v>
      </c>
      <c r="K24" s="430"/>
      <c r="L24" s="431"/>
      <c r="M24" s="432">
        <f t="shared" si="9"/>
        <v>0</v>
      </c>
      <c r="N24" s="431">
        <v>0.5</v>
      </c>
      <c r="O24" s="433">
        <f t="shared" si="4"/>
        <v>745000</v>
      </c>
      <c r="P24" s="434"/>
      <c r="Q24" s="435"/>
      <c r="R24" s="433">
        <f t="shared" si="5"/>
        <v>0</v>
      </c>
      <c r="S24" s="434"/>
      <c r="T24" s="435"/>
      <c r="U24" s="433">
        <f t="shared" si="6"/>
        <v>0</v>
      </c>
      <c r="V24" s="434">
        <v>0.25</v>
      </c>
      <c r="W24" s="502">
        <f t="shared" si="10"/>
        <v>0.125</v>
      </c>
      <c r="X24" s="369">
        <f t="shared" si="11"/>
        <v>186250</v>
      </c>
      <c r="Y24" s="432"/>
      <c r="Z24" s="436"/>
      <c r="AA24" s="433">
        <f t="shared" si="7"/>
        <v>0</v>
      </c>
      <c r="AB24" s="437">
        <f t="shared" si="0"/>
        <v>931250</v>
      </c>
      <c r="AC24" s="437"/>
      <c r="AD24" s="437">
        <f t="shared" si="12"/>
        <v>0</v>
      </c>
      <c r="AE24" s="437">
        <f>ROUND((M24+O24+U24+AA24)*1.5%,0)</f>
        <v>11175</v>
      </c>
      <c r="AF24" s="438">
        <f t="shared" si="13"/>
        <v>59600</v>
      </c>
      <c r="AG24" s="438">
        <f t="shared" si="8"/>
        <v>70775</v>
      </c>
      <c r="AH24" s="438">
        <f t="shared" si="14"/>
        <v>860475</v>
      </c>
      <c r="AI24" s="549"/>
    </row>
    <row r="25" spans="1:35" s="439" customFormat="1" hidden="1" x14ac:dyDescent="0.2">
      <c r="A25" s="425">
        <f>IF(B25&lt;&gt;"",COUNTA($B$9:B25),"")</f>
        <v>16</v>
      </c>
      <c r="B25" s="426" t="s">
        <v>253</v>
      </c>
      <c r="C25" s="427" t="s">
        <v>254</v>
      </c>
      <c r="D25" s="425"/>
      <c r="E25" s="425">
        <v>1981</v>
      </c>
      <c r="F25" s="425">
        <v>2011</v>
      </c>
      <c r="G25" s="441">
        <v>5700215002141</v>
      </c>
      <c r="H25" s="429" t="s">
        <v>46</v>
      </c>
      <c r="I25" s="425" t="s">
        <v>43</v>
      </c>
      <c r="J25" s="446" t="s">
        <v>53</v>
      </c>
      <c r="K25" s="446"/>
      <c r="L25" s="431"/>
      <c r="M25" s="432">
        <f t="shared" si="9"/>
        <v>0</v>
      </c>
      <c r="N25" s="431"/>
      <c r="O25" s="433">
        <f t="shared" si="4"/>
        <v>0</v>
      </c>
      <c r="P25" s="434"/>
      <c r="Q25" s="435"/>
      <c r="R25" s="433">
        <f t="shared" si="5"/>
        <v>0</v>
      </c>
      <c r="S25" s="434"/>
      <c r="T25" s="435"/>
      <c r="U25" s="433">
        <f t="shared" si="6"/>
        <v>0</v>
      </c>
      <c r="V25" s="434">
        <v>0.25</v>
      </c>
      <c r="W25" s="502">
        <f t="shared" si="10"/>
        <v>0</v>
      </c>
      <c r="X25" s="369">
        <f t="shared" si="11"/>
        <v>0</v>
      </c>
      <c r="Y25" s="432"/>
      <c r="Z25" s="436"/>
      <c r="AA25" s="433">
        <f t="shared" si="7"/>
        <v>0</v>
      </c>
      <c r="AB25" s="437">
        <f t="shared" si="0"/>
        <v>0</v>
      </c>
      <c r="AC25" s="437"/>
      <c r="AD25" s="437">
        <f t="shared" si="12"/>
        <v>0</v>
      </c>
      <c r="AE25" s="437">
        <f>ROUND((M25+O25+U25+AA25)*1.5%,0)</f>
        <v>0</v>
      </c>
      <c r="AF25" s="438">
        <f t="shared" si="13"/>
        <v>0</v>
      </c>
      <c r="AG25" s="438">
        <f t="shared" si="8"/>
        <v>0</v>
      </c>
      <c r="AH25" s="438">
        <f t="shared" si="14"/>
        <v>0</v>
      </c>
      <c r="AI25" s="549"/>
    </row>
    <row r="26" spans="1:35" s="439" customFormat="1" ht="47.25" customHeight="1" x14ac:dyDescent="0.2">
      <c r="A26" s="425">
        <v>2</v>
      </c>
      <c r="B26" s="426" t="s">
        <v>255</v>
      </c>
      <c r="C26" s="427" t="s">
        <v>256</v>
      </c>
      <c r="D26" s="425">
        <v>1970</v>
      </c>
      <c r="E26" s="425"/>
      <c r="F26" s="425">
        <v>1995</v>
      </c>
      <c r="G26" s="441">
        <v>5700215015688</v>
      </c>
      <c r="H26" s="429" t="s">
        <v>61</v>
      </c>
      <c r="I26" s="430" t="s">
        <v>39</v>
      </c>
      <c r="J26" s="430" t="s">
        <v>44</v>
      </c>
      <c r="K26" s="430"/>
      <c r="L26" s="431"/>
      <c r="M26" s="432">
        <f t="shared" si="9"/>
        <v>0</v>
      </c>
      <c r="N26" s="431"/>
      <c r="O26" s="433">
        <f t="shared" si="4"/>
        <v>0</v>
      </c>
      <c r="P26" s="434"/>
      <c r="Q26" s="435"/>
      <c r="R26" s="433">
        <f t="shared" si="5"/>
        <v>0</v>
      </c>
      <c r="S26" s="434"/>
      <c r="T26" s="435"/>
      <c r="U26" s="433">
        <f t="shared" si="6"/>
        <v>0</v>
      </c>
      <c r="V26" s="434"/>
      <c r="W26" s="502"/>
      <c r="X26" s="432">
        <f t="shared" si="11"/>
        <v>0</v>
      </c>
      <c r="Y26" s="434">
        <f>1%*0</f>
        <v>0</v>
      </c>
      <c r="Z26" s="436">
        <f>(4.98+0.5+T26)*Y26</f>
        <v>0</v>
      </c>
      <c r="AA26" s="433">
        <f t="shared" si="7"/>
        <v>0</v>
      </c>
      <c r="AB26" s="437">
        <f t="shared" si="0"/>
        <v>0</v>
      </c>
      <c r="AC26" s="437">
        <v>1</v>
      </c>
      <c r="AD26" s="437">
        <f t="shared" si="12"/>
        <v>0</v>
      </c>
      <c r="AE26" s="437">
        <f>ROUND((M26+O26+U26+AA26)*1.5%,0)</f>
        <v>0</v>
      </c>
      <c r="AF26" s="438">
        <f t="shared" si="13"/>
        <v>0</v>
      </c>
      <c r="AG26" s="438">
        <f t="shared" si="8"/>
        <v>0</v>
      </c>
      <c r="AH26" s="438">
        <f t="shared" si="14"/>
        <v>0</v>
      </c>
      <c r="AI26" s="550" t="s">
        <v>350</v>
      </c>
    </row>
    <row r="27" spans="1:35" s="439" customFormat="1" hidden="1" x14ac:dyDescent="0.2">
      <c r="A27" s="425">
        <f>IF(B27&lt;&gt;"",COUNTA($B$9:B27),"")</f>
        <v>18</v>
      </c>
      <c r="B27" s="426" t="s">
        <v>257</v>
      </c>
      <c r="C27" s="427" t="s">
        <v>258</v>
      </c>
      <c r="D27" s="425">
        <v>1975</v>
      </c>
      <c r="E27" s="425"/>
      <c r="F27" s="425">
        <v>2015</v>
      </c>
      <c r="G27" s="428">
        <v>5700205116100</v>
      </c>
      <c r="H27" s="429" t="s">
        <v>46</v>
      </c>
      <c r="I27" s="430" t="s">
        <v>43</v>
      </c>
      <c r="J27" s="430" t="s">
        <v>63</v>
      </c>
      <c r="K27" s="430"/>
      <c r="L27" s="431"/>
      <c r="M27" s="432">
        <f>ROUND(L27*1490000,0)</f>
        <v>0</v>
      </c>
      <c r="N27" s="431"/>
      <c r="O27" s="433">
        <f t="shared" si="4"/>
        <v>0</v>
      </c>
      <c r="P27" s="434"/>
      <c r="Q27" s="435"/>
      <c r="R27" s="433">
        <f t="shared" si="5"/>
        <v>0</v>
      </c>
      <c r="S27" s="434"/>
      <c r="T27" s="435"/>
      <c r="U27" s="433">
        <f t="shared" si="6"/>
        <v>0</v>
      </c>
      <c r="V27" s="434">
        <v>0.25</v>
      </c>
      <c r="W27" s="502">
        <f t="shared" si="10"/>
        <v>0</v>
      </c>
      <c r="X27" s="432">
        <f t="shared" si="11"/>
        <v>0</v>
      </c>
      <c r="Y27" s="432"/>
      <c r="Z27" s="436"/>
      <c r="AA27" s="433">
        <f t="shared" si="7"/>
        <v>0</v>
      </c>
      <c r="AB27" s="437">
        <f t="shared" si="0"/>
        <v>0</v>
      </c>
      <c r="AC27" s="437"/>
      <c r="AD27" s="437"/>
      <c r="AE27" s="437">
        <f>ROUND((M27+O27+U27+AA27)*1.5%,0)-1</f>
        <v>-1</v>
      </c>
      <c r="AF27" s="438">
        <f t="shared" si="13"/>
        <v>0</v>
      </c>
      <c r="AG27" s="438">
        <f t="shared" si="8"/>
        <v>-1</v>
      </c>
      <c r="AH27" s="438">
        <f t="shared" si="14"/>
        <v>1</v>
      </c>
      <c r="AI27" s="545"/>
    </row>
    <row r="28" spans="1:35" s="439" customFormat="1" hidden="1" x14ac:dyDescent="0.2">
      <c r="A28" s="425">
        <f>IF(B28&lt;&gt;"",COUNTA($B$9:B28),"")</f>
        <v>19</v>
      </c>
      <c r="B28" s="426" t="s">
        <v>259</v>
      </c>
      <c r="C28" s="427" t="s">
        <v>260</v>
      </c>
      <c r="D28" s="425">
        <v>1977</v>
      </c>
      <c r="E28" s="425"/>
      <c r="F28" s="425">
        <v>1996</v>
      </c>
      <c r="G28" s="441">
        <v>5700205101719</v>
      </c>
      <c r="H28" s="429" t="s">
        <v>65</v>
      </c>
      <c r="I28" s="430" t="s">
        <v>43</v>
      </c>
      <c r="J28" s="430" t="s">
        <v>66</v>
      </c>
      <c r="K28" s="430"/>
      <c r="L28" s="431"/>
      <c r="M28" s="432">
        <f t="shared" si="9"/>
        <v>0</v>
      </c>
      <c r="N28" s="431">
        <v>0.5</v>
      </c>
      <c r="O28" s="433">
        <f t="shared" si="4"/>
        <v>745000</v>
      </c>
      <c r="P28" s="434"/>
      <c r="Q28" s="435"/>
      <c r="R28" s="433">
        <f t="shared" si="5"/>
        <v>0</v>
      </c>
      <c r="S28" s="434"/>
      <c r="T28" s="435"/>
      <c r="U28" s="433">
        <f t="shared" si="6"/>
        <v>0</v>
      </c>
      <c r="V28" s="434">
        <v>0.25</v>
      </c>
      <c r="W28" s="502">
        <f>(L28+N28+T28)*V28</f>
        <v>0.125</v>
      </c>
      <c r="X28" s="369">
        <f t="shared" si="11"/>
        <v>186250</v>
      </c>
      <c r="Y28" s="432"/>
      <c r="Z28" s="440"/>
      <c r="AA28" s="433">
        <f t="shared" si="7"/>
        <v>0</v>
      </c>
      <c r="AB28" s="437">
        <f t="shared" si="0"/>
        <v>931250</v>
      </c>
      <c r="AC28" s="437"/>
      <c r="AD28" s="437"/>
      <c r="AE28" s="437">
        <f t="shared" ref="AE28:AE34" si="15">ROUND((M28+O28+U28+AA28)*1.5%,0)</f>
        <v>11175</v>
      </c>
      <c r="AF28" s="438">
        <f t="shared" si="13"/>
        <v>59600</v>
      </c>
      <c r="AG28" s="438">
        <f t="shared" si="8"/>
        <v>70775</v>
      </c>
      <c r="AH28" s="438">
        <f t="shared" si="14"/>
        <v>860475</v>
      </c>
      <c r="AI28" s="545"/>
    </row>
    <row r="29" spans="1:35" s="331" customFormat="1" hidden="1" x14ac:dyDescent="0.2">
      <c r="A29" s="362">
        <f>IF(B29&lt;&gt;"",COUNTA($B$9:B29),"")</f>
        <v>20</v>
      </c>
      <c r="B29" s="363" t="s">
        <v>261</v>
      </c>
      <c r="C29" s="364" t="s">
        <v>262</v>
      </c>
      <c r="D29" s="362">
        <v>1982</v>
      </c>
      <c r="E29" s="362"/>
      <c r="F29" s="362">
        <v>2004</v>
      </c>
      <c r="G29" s="365">
        <v>5700205345744</v>
      </c>
      <c r="H29" s="366" t="s">
        <v>46</v>
      </c>
      <c r="I29" s="367" t="s">
        <v>43</v>
      </c>
      <c r="J29" s="367" t="s">
        <v>56</v>
      </c>
      <c r="K29" s="367"/>
      <c r="L29" s="368"/>
      <c r="M29" s="369">
        <f t="shared" si="9"/>
        <v>0</v>
      </c>
      <c r="N29" s="368"/>
      <c r="O29" s="370">
        <f t="shared" si="4"/>
        <v>0</v>
      </c>
      <c r="P29" s="368"/>
      <c r="Q29" s="447"/>
      <c r="R29" s="370">
        <f t="shared" si="5"/>
        <v>0</v>
      </c>
      <c r="S29" s="371"/>
      <c r="T29" s="447"/>
      <c r="U29" s="370">
        <f t="shared" si="6"/>
        <v>0</v>
      </c>
      <c r="V29" s="371">
        <v>0.25</v>
      </c>
      <c r="W29" s="501">
        <f t="shared" si="10"/>
        <v>0</v>
      </c>
      <c r="X29" s="369">
        <f t="shared" si="11"/>
        <v>0</v>
      </c>
      <c r="Y29" s="369"/>
      <c r="Z29" s="372"/>
      <c r="AA29" s="370">
        <f t="shared" si="7"/>
        <v>0</v>
      </c>
      <c r="AB29" s="373">
        <f t="shared" si="0"/>
        <v>0</v>
      </c>
      <c r="AC29" s="373"/>
      <c r="AD29" s="373"/>
      <c r="AE29" s="373">
        <f t="shared" si="15"/>
        <v>0</v>
      </c>
      <c r="AF29" s="374">
        <f t="shared" si="13"/>
        <v>0</v>
      </c>
      <c r="AG29" s="374">
        <f t="shared" si="8"/>
        <v>0</v>
      </c>
      <c r="AH29" s="374">
        <f t="shared" si="14"/>
        <v>0</v>
      </c>
      <c r="AI29" s="544"/>
    </row>
    <row r="30" spans="1:35" s="379" customFormat="1" hidden="1" x14ac:dyDescent="0.2">
      <c r="A30" s="362">
        <f>IF(B30&lt;&gt;"",COUNTA($B$9:B30),"")</f>
        <v>21</v>
      </c>
      <c r="B30" s="363" t="s">
        <v>263</v>
      </c>
      <c r="C30" s="364" t="s">
        <v>232</v>
      </c>
      <c r="D30" s="362"/>
      <c r="E30" s="362">
        <v>1984</v>
      </c>
      <c r="F30" s="362">
        <v>2010</v>
      </c>
      <c r="G30" s="378">
        <v>5700215002686</v>
      </c>
      <c r="H30" s="366" t="s">
        <v>46</v>
      </c>
      <c r="I30" s="367" t="s">
        <v>43</v>
      </c>
      <c r="J30" s="367" t="s">
        <v>56</v>
      </c>
      <c r="K30" s="367"/>
      <c r="L30" s="368"/>
      <c r="M30" s="369">
        <f t="shared" si="9"/>
        <v>0</v>
      </c>
      <c r="N30" s="368"/>
      <c r="O30" s="370">
        <f t="shared" si="4"/>
        <v>0</v>
      </c>
      <c r="P30" s="368"/>
      <c r="Q30" s="447"/>
      <c r="R30" s="370">
        <f t="shared" si="5"/>
        <v>0</v>
      </c>
      <c r="S30" s="371"/>
      <c r="T30" s="447"/>
      <c r="U30" s="370">
        <f t="shared" si="6"/>
        <v>0</v>
      </c>
      <c r="V30" s="371">
        <v>0.25</v>
      </c>
      <c r="W30" s="501">
        <f t="shared" si="10"/>
        <v>0</v>
      </c>
      <c r="X30" s="369">
        <f t="shared" si="11"/>
        <v>0</v>
      </c>
      <c r="Y30" s="369"/>
      <c r="Z30" s="372"/>
      <c r="AA30" s="370">
        <f t="shared" si="7"/>
        <v>0</v>
      </c>
      <c r="AB30" s="373">
        <f t="shared" si="0"/>
        <v>0</v>
      </c>
      <c r="AC30" s="373"/>
      <c r="AD30" s="373"/>
      <c r="AE30" s="373">
        <f t="shared" si="15"/>
        <v>0</v>
      </c>
      <c r="AF30" s="374">
        <f t="shared" si="13"/>
        <v>0</v>
      </c>
      <c r="AG30" s="374">
        <f t="shared" si="8"/>
        <v>0</v>
      </c>
      <c r="AH30" s="374">
        <f t="shared" si="14"/>
        <v>0</v>
      </c>
      <c r="AI30" s="546"/>
    </row>
    <row r="31" spans="1:35" s="331" customFormat="1" hidden="1" x14ac:dyDescent="0.2">
      <c r="A31" s="362">
        <f>IF(B31&lt;&gt;"",COUNTA($B$9:B31),"")</f>
        <v>22</v>
      </c>
      <c r="B31" s="363" t="s">
        <v>264</v>
      </c>
      <c r="C31" s="364" t="s">
        <v>265</v>
      </c>
      <c r="D31" s="362">
        <v>1983</v>
      </c>
      <c r="E31" s="362"/>
      <c r="F31" s="362">
        <v>2011</v>
      </c>
      <c r="G31" s="380">
        <v>5700205217924</v>
      </c>
      <c r="H31" s="366" t="s">
        <v>46</v>
      </c>
      <c r="I31" s="367" t="s">
        <v>43</v>
      </c>
      <c r="J31" s="367" t="s">
        <v>53</v>
      </c>
      <c r="K31" s="367"/>
      <c r="L31" s="368"/>
      <c r="M31" s="369">
        <f>ROUND(L31*1490000,0)*50%</f>
        <v>0</v>
      </c>
      <c r="N31" s="368"/>
      <c r="O31" s="370">
        <f t="shared" si="4"/>
        <v>0</v>
      </c>
      <c r="P31" s="368"/>
      <c r="Q31" s="447"/>
      <c r="R31" s="370">
        <f t="shared" si="5"/>
        <v>0</v>
      </c>
      <c r="S31" s="371"/>
      <c r="T31" s="447"/>
      <c r="U31" s="370">
        <f t="shared" si="6"/>
        <v>0</v>
      </c>
      <c r="V31" s="371">
        <v>0.25</v>
      </c>
      <c r="W31" s="501">
        <f>(L31+N31+T31)*V31*0</f>
        <v>0</v>
      </c>
      <c r="X31" s="369">
        <f>ROUND(W31*1490000,0)*0</f>
        <v>0</v>
      </c>
      <c r="Y31" s="369"/>
      <c r="Z31" s="372"/>
      <c r="AA31" s="370">
        <f t="shared" si="7"/>
        <v>0</v>
      </c>
      <c r="AB31" s="373">
        <f t="shared" si="0"/>
        <v>0</v>
      </c>
      <c r="AC31" s="373"/>
      <c r="AD31" s="373"/>
      <c r="AE31" s="373">
        <f t="shared" si="15"/>
        <v>0</v>
      </c>
      <c r="AF31" s="374">
        <f>ROUND((M31+O31+U31+AA31)*8%,0)*0</f>
        <v>0</v>
      </c>
      <c r="AG31" s="374">
        <f t="shared" si="8"/>
        <v>0</v>
      </c>
      <c r="AH31" s="374">
        <f t="shared" si="14"/>
        <v>0</v>
      </c>
      <c r="AI31" s="544"/>
    </row>
    <row r="32" spans="1:35" s="331" customFormat="1" hidden="1" x14ac:dyDescent="0.2">
      <c r="A32" s="362">
        <f>IF(B32&lt;&gt;"",COUNTA($B$9:B32),"")</f>
        <v>23</v>
      </c>
      <c r="B32" s="363" t="s">
        <v>266</v>
      </c>
      <c r="C32" s="364" t="s">
        <v>267</v>
      </c>
      <c r="D32" s="362">
        <v>1983</v>
      </c>
      <c r="E32" s="362"/>
      <c r="F32" s="362">
        <v>2005</v>
      </c>
      <c r="G32" s="380">
        <v>5700205787037</v>
      </c>
      <c r="H32" s="366" t="s">
        <v>46</v>
      </c>
      <c r="I32" s="367" t="s">
        <v>43</v>
      </c>
      <c r="J32" s="367" t="s">
        <v>53</v>
      </c>
      <c r="K32" s="367"/>
      <c r="L32" s="368"/>
      <c r="M32" s="369">
        <f t="shared" si="9"/>
        <v>0</v>
      </c>
      <c r="N32" s="368"/>
      <c r="O32" s="370">
        <f t="shared" si="4"/>
        <v>0</v>
      </c>
      <c r="P32" s="368"/>
      <c r="Q32" s="447"/>
      <c r="R32" s="370">
        <f t="shared" si="5"/>
        <v>0</v>
      </c>
      <c r="S32" s="371"/>
      <c r="T32" s="447"/>
      <c r="U32" s="370">
        <f t="shared" si="6"/>
        <v>0</v>
      </c>
      <c r="V32" s="371">
        <v>0.25</v>
      </c>
      <c r="W32" s="501">
        <f t="shared" si="10"/>
        <v>0</v>
      </c>
      <c r="X32" s="369">
        <f t="shared" si="11"/>
        <v>0</v>
      </c>
      <c r="Y32" s="369"/>
      <c r="Z32" s="372"/>
      <c r="AA32" s="370">
        <f t="shared" si="7"/>
        <v>0</v>
      </c>
      <c r="AB32" s="373">
        <f t="shared" si="0"/>
        <v>0</v>
      </c>
      <c r="AC32" s="373"/>
      <c r="AD32" s="373"/>
      <c r="AE32" s="373">
        <f t="shared" si="15"/>
        <v>0</v>
      </c>
      <c r="AF32" s="374">
        <f>ROUND((M32+O32+U32+AA32)*8%,0)</f>
        <v>0</v>
      </c>
      <c r="AG32" s="374">
        <f t="shared" si="8"/>
        <v>0</v>
      </c>
      <c r="AH32" s="374">
        <f t="shared" si="14"/>
        <v>0</v>
      </c>
      <c r="AI32" s="544"/>
    </row>
    <row r="33" spans="1:35" s="331" customFormat="1" hidden="1" x14ac:dyDescent="0.2">
      <c r="A33" s="362">
        <f>IF(B33&lt;&gt;"",COUNTA($B$9:B33),"")</f>
        <v>24</v>
      </c>
      <c r="B33" s="363" t="s">
        <v>268</v>
      </c>
      <c r="C33" s="364" t="s">
        <v>269</v>
      </c>
      <c r="D33" s="362"/>
      <c r="E33" s="362"/>
      <c r="F33" s="362"/>
      <c r="G33" s="380">
        <v>5700205732426</v>
      </c>
      <c r="H33" s="366" t="s">
        <v>46</v>
      </c>
      <c r="I33" s="367" t="s">
        <v>43</v>
      </c>
      <c r="J33" s="367" t="s">
        <v>53</v>
      </c>
      <c r="K33" s="367"/>
      <c r="L33" s="368"/>
      <c r="M33" s="369">
        <f t="shared" si="9"/>
        <v>0</v>
      </c>
      <c r="N33" s="368"/>
      <c r="O33" s="370">
        <f t="shared" si="4"/>
        <v>0</v>
      </c>
      <c r="P33" s="368"/>
      <c r="Q33" s="447"/>
      <c r="R33" s="370">
        <f t="shared" si="5"/>
        <v>0</v>
      </c>
      <c r="S33" s="371"/>
      <c r="T33" s="447"/>
      <c r="U33" s="370">
        <f>T33*1490000</f>
        <v>0</v>
      </c>
      <c r="V33" s="371">
        <v>0.25</v>
      </c>
      <c r="W33" s="501">
        <f>(L33+N33+T33)*V33</f>
        <v>0</v>
      </c>
      <c r="X33" s="369">
        <f t="shared" si="11"/>
        <v>0</v>
      </c>
      <c r="Y33" s="369"/>
      <c r="Z33" s="372"/>
      <c r="AA33" s="370">
        <f t="shared" si="7"/>
        <v>0</v>
      </c>
      <c r="AB33" s="373">
        <f>M33+O33+R33+U33+X33+AA33</f>
        <v>0</v>
      </c>
      <c r="AC33" s="373"/>
      <c r="AD33" s="373"/>
      <c r="AE33" s="373">
        <f t="shared" si="15"/>
        <v>0</v>
      </c>
      <c r="AF33" s="374">
        <f>ROUND((M33+O33+U33+AA33)*8%,0)</f>
        <v>0</v>
      </c>
      <c r="AG33" s="374">
        <f>AE33+AF33</f>
        <v>0</v>
      </c>
      <c r="AH33" s="374">
        <f t="shared" si="14"/>
        <v>0</v>
      </c>
      <c r="AI33" s="544"/>
    </row>
    <row r="34" spans="1:35" s="331" customFormat="1" hidden="1" x14ac:dyDescent="0.2">
      <c r="A34" s="362">
        <f>IF(B34&lt;&gt;"",COUNTA($B$9:B34),"")</f>
        <v>25</v>
      </c>
      <c r="B34" s="381" t="s">
        <v>270</v>
      </c>
      <c r="C34" s="382" t="s">
        <v>271</v>
      </c>
      <c r="D34" s="383"/>
      <c r="E34" s="383">
        <v>1984</v>
      </c>
      <c r="F34" s="383">
        <v>2002</v>
      </c>
      <c r="G34" s="384">
        <v>5700205478834</v>
      </c>
      <c r="H34" s="385" t="s">
        <v>46</v>
      </c>
      <c r="I34" s="386" t="s">
        <v>43</v>
      </c>
      <c r="J34" s="386" t="s">
        <v>71</v>
      </c>
      <c r="K34" s="386"/>
      <c r="L34" s="387"/>
      <c r="M34" s="388">
        <f t="shared" si="9"/>
        <v>0</v>
      </c>
      <c r="N34" s="387"/>
      <c r="O34" s="389">
        <f t="shared" si="4"/>
        <v>0</v>
      </c>
      <c r="P34" s="387"/>
      <c r="Q34" s="448"/>
      <c r="R34" s="389">
        <f t="shared" si="5"/>
        <v>0</v>
      </c>
      <c r="S34" s="390"/>
      <c r="T34" s="448"/>
      <c r="U34" s="389">
        <f t="shared" si="6"/>
        <v>0</v>
      </c>
      <c r="V34" s="390">
        <v>0.25</v>
      </c>
      <c r="W34" s="503">
        <f t="shared" si="10"/>
        <v>0</v>
      </c>
      <c r="X34" s="369">
        <f t="shared" si="11"/>
        <v>0</v>
      </c>
      <c r="Y34" s="388"/>
      <c r="Z34" s="391"/>
      <c r="AA34" s="389">
        <f t="shared" si="7"/>
        <v>0</v>
      </c>
      <c r="AB34" s="392">
        <f t="shared" si="0"/>
        <v>0</v>
      </c>
      <c r="AC34" s="392"/>
      <c r="AD34" s="392"/>
      <c r="AE34" s="392">
        <f t="shared" si="15"/>
        <v>0</v>
      </c>
      <c r="AF34" s="393">
        <f>ROUND((M34+O34+U34+AA34)*8%,0)</f>
        <v>0</v>
      </c>
      <c r="AG34" s="393">
        <f t="shared" si="8"/>
        <v>0</v>
      </c>
      <c r="AH34" s="393">
        <f t="shared" si="14"/>
        <v>0</v>
      </c>
      <c r="AI34" s="544"/>
    </row>
    <row r="35" spans="1:35" s="309" customFormat="1" ht="33.75" customHeight="1" x14ac:dyDescent="0.25">
      <c r="A35" s="308"/>
      <c r="B35" s="625" t="s">
        <v>72</v>
      </c>
      <c r="C35" s="626"/>
      <c r="D35" s="308"/>
      <c r="E35" s="308"/>
      <c r="F35" s="308"/>
      <c r="G35" s="308"/>
      <c r="H35" s="308"/>
      <c r="I35" s="308"/>
      <c r="J35" s="308"/>
      <c r="K35" s="308"/>
      <c r="L35" s="330">
        <f>L26+L22</f>
        <v>0</v>
      </c>
      <c r="M35" s="443">
        <f t="shared" ref="M35:AH35" si="16">M26+M22</f>
        <v>0</v>
      </c>
      <c r="N35" s="330">
        <f t="shared" si="16"/>
        <v>0</v>
      </c>
      <c r="O35" s="330">
        <f t="shared" si="16"/>
        <v>0</v>
      </c>
      <c r="P35" s="330"/>
      <c r="Q35" s="330">
        <f t="shared" si="16"/>
        <v>0</v>
      </c>
      <c r="R35" s="330">
        <f t="shared" si="16"/>
        <v>0</v>
      </c>
      <c r="S35" s="330"/>
      <c r="T35" s="330">
        <f t="shared" si="16"/>
        <v>0</v>
      </c>
      <c r="U35" s="330">
        <f t="shared" si="16"/>
        <v>0</v>
      </c>
      <c r="V35" s="330">
        <f t="shared" si="16"/>
        <v>0</v>
      </c>
      <c r="W35" s="330">
        <f t="shared" si="16"/>
        <v>0</v>
      </c>
      <c r="X35" s="443">
        <f t="shared" si="16"/>
        <v>0</v>
      </c>
      <c r="Y35" s="330">
        <f t="shared" si="16"/>
        <v>0</v>
      </c>
      <c r="Z35" s="330">
        <f t="shared" si="16"/>
        <v>0</v>
      </c>
      <c r="AA35" s="443">
        <f t="shared" si="16"/>
        <v>0</v>
      </c>
      <c r="AB35" s="443">
        <f t="shared" si="16"/>
        <v>0</v>
      </c>
      <c r="AC35" s="443">
        <f t="shared" si="16"/>
        <v>1</v>
      </c>
      <c r="AD35" s="443">
        <f t="shared" si="16"/>
        <v>0</v>
      </c>
      <c r="AE35" s="443">
        <f t="shared" si="16"/>
        <v>0</v>
      </c>
      <c r="AF35" s="443">
        <f t="shared" si="16"/>
        <v>0</v>
      </c>
      <c r="AG35" s="443">
        <f t="shared" si="16"/>
        <v>0</v>
      </c>
      <c r="AH35" s="443">
        <f t="shared" si="16"/>
        <v>0</v>
      </c>
      <c r="AI35" s="541"/>
    </row>
    <row r="36" spans="1:35" s="309" customFormat="1" x14ac:dyDescent="0.25">
      <c r="A36" s="394"/>
      <c r="B36" s="394"/>
      <c r="C36" s="394"/>
      <c r="D36" s="394"/>
      <c r="E36" s="394"/>
      <c r="F36" s="394"/>
      <c r="G36" s="394"/>
      <c r="H36" s="394"/>
      <c r="I36" s="394"/>
      <c r="J36" s="394"/>
      <c r="K36" s="394"/>
      <c r="L36" s="395"/>
      <c r="M36" s="270"/>
      <c r="N36" s="396"/>
      <c r="O36" s="270"/>
      <c r="P36" s="396"/>
      <c r="Q36" s="396"/>
      <c r="R36" s="270"/>
      <c r="S36" s="396"/>
      <c r="T36" s="396"/>
      <c r="U36" s="270"/>
      <c r="V36" s="270"/>
      <c r="W36" s="270"/>
      <c r="X36" s="270"/>
      <c r="Y36" s="397"/>
      <c r="Z36" s="270"/>
      <c r="AA36" s="270"/>
      <c r="AB36" s="270"/>
      <c r="AC36" s="270"/>
      <c r="AD36" s="270"/>
      <c r="AE36" s="270"/>
      <c r="AF36" s="270"/>
      <c r="AG36" s="270"/>
      <c r="AH36" s="271"/>
    </row>
    <row r="37" spans="1:35" s="1" customFormat="1" ht="15" x14ac:dyDescent="0.25">
      <c r="A37" s="224"/>
      <c r="B37" s="224"/>
      <c r="C37" s="224"/>
      <c r="D37" s="225"/>
      <c r="E37" s="225"/>
      <c r="F37" s="225"/>
      <c r="G37" s="225"/>
      <c r="H37" s="225"/>
      <c r="I37" s="225"/>
      <c r="J37" s="225"/>
      <c r="K37" s="225"/>
      <c r="L37" s="226"/>
      <c r="M37" s="226"/>
      <c r="N37" s="226"/>
      <c r="O37" s="226"/>
      <c r="P37" s="226"/>
      <c r="Q37" s="226"/>
      <c r="R37" s="226"/>
      <c r="S37" s="226"/>
      <c r="T37" s="226"/>
      <c r="U37" s="226"/>
      <c r="V37" s="226"/>
      <c r="W37" s="226"/>
      <c r="X37" s="226"/>
      <c r="Y37" s="226"/>
      <c r="Z37" s="226"/>
      <c r="AA37" s="226"/>
      <c r="AB37" s="226"/>
      <c r="AC37" s="226"/>
      <c r="AD37" s="226"/>
      <c r="AE37" s="227"/>
      <c r="AF37" s="226"/>
      <c r="AG37" s="226"/>
      <c r="AH37" s="226"/>
    </row>
    <row r="38" spans="1:35" s="1" customFormat="1" ht="15" x14ac:dyDescent="0.25">
      <c r="A38" s="224"/>
      <c r="B38" s="228"/>
      <c r="C38" s="228"/>
      <c r="D38" s="225"/>
      <c r="E38" s="225"/>
      <c r="F38" s="225"/>
      <c r="G38" s="225"/>
      <c r="H38" s="225"/>
      <c r="I38" s="225"/>
      <c r="J38" s="225"/>
      <c r="K38" s="225"/>
      <c r="L38" s="229"/>
      <c r="M38" s="230"/>
      <c r="N38" s="230"/>
      <c r="O38" s="230"/>
      <c r="P38" s="230"/>
      <c r="Q38" s="230"/>
      <c r="R38" s="230"/>
      <c r="S38" s="230"/>
      <c r="T38" s="230"/>
      <c r="U38" s="230"/>
      <c r="V38" s="230"/>
      <c r="W38" s="230"/>
      <c r="X38" s="230"/>
      <c r="Y38" s="230"/>
      <c r="Z38" s="230"/>
      <c r="AA38" s="230"/>
      <c r="AB38" s="230"/>
      <c r="AC38" s="230"/>
      <c r="AD38" s="230"/>
      <c r="AE38" s="231"/>
      <c r="AF38" s="230"/>
      <c r="AG38" s="230"/>
      <c r="AH38" s="230"/>
    </row>
    <row r="39" spans="1:35" s="1" customFormat="1" ht="15" x14ac:dyDescent="0.25">
      <c r="B39" s="4"/>
      <c r="C39" s="4"/>
      <c r="H39" s="4"/>
      <c r="L39" s="16">
        <v>1490</v>
      </c>
      <c r="O39" s="16"/>
      <c r="P39" s="10"/>
      <c r="Q39" s="10"/>
      <c r="R39" s="16"/>
      <c r="S39" s="398" t="s">
        <v>108</v>
      </c>
      <c r="T39" s="4"/>
      <c r="U39" s="4"/>
      <c r="V39" s="4"/>
      <c r="W39" s="4"/>
      <c r="X39" s="4"/>
      <c r="Y39" s="399" t="s">
        <v>109</v>
      </c>
      <c r="Z39" s="4"/>
      <c r="AA39" s="4"/>
      <c r="AB39" s="4"/>
      <c r="AC39" s="4"/>
      <c r="AD39" s="4"/>
      <c r="AE39" s="222"/>
      <c r="AF39" s="4"/>
      <c r="AG39" s="4"/>
      <c r="AH39" s="4"/>
    </row>
    <row r="40" spans="1:35" s="88" customFormat="1" ht="15.75" thickBot="1" x14ac:dyDescent="0.3">
      <c r="A40" s="627" t="s">
        <v>73</v>
      </c>
      <c r="B40" s="627"/>
      <c r="C40" s="242"/>
      <c r="F40" s="50"/>
      <c r="G40" s="50"/>
      <c r="H40" s="50">
        <v>6001</v>
      </c>
      <c r="L40" s="705">
        <f>SUM(L41:L43)</f>
        <v>0</v>
      </c>
      <c r="M40" s="705"/>
      <c r="N40" s="705"/>
      <c r="O40" s="705"/>
      <c r="Q40" s="705"/>
      <c r="R40" s="705"/>
      <c r="S40" s="523"/>
      <c r="T40" s="13"/>
      <c r="U40" s="16">
        <v>1490</v>
      </c>
      <c r="V40" s="662"/>
      <c r="W40" s="662"/>
      <c r="X40" s="16"/>
      <c r="Z40" s="15"/>
      <c r="AA40" s="400"/>
      <c r="AB40" s="16">
        <v>1490</v>
      </c>
      <c r="AC40" s="16"/>
      <c r="AD40" s="16"/>
      <c r="AE40" s="256"/>
      <c r="AF40" s="16"/>
      <c r="AG40" s="401"/>
      <c r="AH40" s="401"/>
    </row>
    <row r="41" spans="1:35" s="88" customFormat="1" ht="15.75" thickTop="1" x14ac:dyDescent="0.25">
      <c r="A41" s="712" t="s">
        <v>149</v>
      </c>
      <c r="B41" s="713"/>
      <c r="C41" s="243"/>
      <c r="F41" s="51"/>
      <c r="G41" s="51"/>
      <c r="H41" s="51">
        <v>334</v>
      </c>
      <c r="L41" s="714">
        <f>(M35*5)-L42-L43</f>
        <v>0</v>
      </c>
      <c r="M41" s="714"/>
      <c r="N41" s="604"/>
      <c r="O41" s="604"/>
      <c r="Q41" s="604"/>
      <c r="R41" s="604"/>
      <c r="S41" s="523"/>
      <c r="T41" s="402">
        <v>6001</v>
      </c>
      <c r="U41" s="403">
        <f>L41</f>
        <v>0</v>
      </c>
      <c r="V41" s="715"/>
      <c r="W41" s="715"/>
      <c r="X41" s="534"/>
      <c r="Y41" s="613" t="s">
        <v>110</v>
      </c>
      <c r="Z41" s="613"/>
      <c r="AA41" s="402">
        <v>6301</v>
      </c>
      <c r="AB41" s="404">
        <f>(ROUND((M35)+O35+U35+AA35,0)*17.5%)*5</f>
        <v>0</v>
      </c>
      <c r="AC41" s="404"/>
      <c r="AD41" s="404"/>
      <c r="AE41" s="526">
        <f>(M31*17.5%)*3</f>
        <v>0</v>
      </c>
      <c r="AF41" s="405"/>
    </row>
    <row r="42" spans="1:35" s="88" customFormat="1" ht="15" x14ac:dyDescent="0.25">
      <c r="A42" s="716" t="s">
        <v>150</v>
      </c>
      <c r="B42" s="717"/>
      <c r="C42" s="244"/>
      <c r="D42" s="524"/>
      <c r="F42" s="52"/>
      <c r="G42" s="52"/>
      <c r="H42" s="52" t="s">
        <v>111</v>
      </c>
      <c r="L42" s="714">
        <f>((M35)*8%)*5</f>
        <v>0</v>
      </c>
      <c r="M42" s="714"/>
      <c r="N42" s="604"/>
      <c r="O42" s="604"/>
      <c r="Q42" s="604"/>
      <c r="R42" s="604"/>
      <c r="S42" s="523"/>
      <c r="T42" s="402">
        <v>6101</v>
      </c>
      <c r="U42" s="403">
        <f>L45</f>
        <v>0</v>
      </c>
      <c r="V42" s="715"/>
      <c r="W42" s="715"/>
      <c r="X42" s="534"/>
      <c r="Y42" s="613" t="s">
        <v>112</v>
      </c>
      <c r="Z42" s="613"/>
      <c r="AA42" s="402">
        <v>6302</v>
      </c>
      <c r="AB42" s="404">
        <f>ROUND((M35)+O35+U35+AA35,0)*3%*5</f>
        <v>0</v>
      </c>
      <c r="AC42" s="404"/>
      <c r="AD42" s="404"/>
      <c r="AE42" s="406"/>
      <c r="AF42" s="405"/>
    </row>
    <row r="43" spans="1:35" s="88" customFormat="1" ht="15" x14ac:dyDescent="0.25">
      <c r="A43" s="716" t="s">
        <v>151</v>
      </c>
      <c r="B43" s="717"/>
      <c r="C43" s="244"/>
      <c r="D43" s="524"/>
      <c r="F43" s="52"/>
      <c r="G43" s="52"/>
      <c r="H43" s="52" t="s">
        <v>113</v>
      </c>
      <c r="L43" s="714">
        <f>M35*1.5%*5</f>
        <v>0</v>
      </c>
      <c r="M43" s="714"/>
      <c r="N43" s="604"/>
      <c r="O43" s="604"/>
      <c r="Q43" s="604"/>
      <c r="R43" s="604"/>
      <c r="S43" s="523"/>
      <c r="T43" s="402">
        <v>6113</v>
      </c>
      <c r="U43" s="403">
        <f>L49</f>
        <v>0</v>
      </c>
      <c r="V43" s="715"/>
      <c r="W43" s="715"/>
      <c r="X43" s="534"/>
      <c r="Y43" s="613" t="s">
        <v>118</v>
      </c>
      <c r="Z43" s="613"/>
      <c r="AA43" s="402">
        <v>6001</v>
      </c>
      <c r="AB43" s="405">
        <f>ROUND(L42+L43,0)</f>
        <v>0</v>
      </c>
      <c r="AC43" s="405"/>
      <c r="AD43" s="405"/>
      <c r="AE43" s="406"/>
      <c r="AF43" s="405"/>
      <c r="AI43" s="525"/>
    </row>
    <row r="44" spans="1:35" s="88" customFormat="1" ht="15" x14ac:dyDescent="0.25">
      <c r="A44" s="716" t="s">
        <v>152</v>
      </c>
      <c r="B44" s="717"/>
      <c r="C44" s="244"/>
      <c r="D44" s="524"/>
      <c r="F44" s="25"/>
      <c r="G44" s="25"/>
      <c r="H44" s="25">
        <v>6101</v>
      </c>
      <c r="L44" s="662">
        <f>SUM(L45:L47)</f>
        <v>0</v>
      </c>
      <c r="M44" s="662"/>
      <c r="N44" s="602"/>
      <c r="O44" s="602"/>
      <c r="Q44" s="602"/>
      <c r="R44" s="602"/>
      <c r="S44" s="523"/>
      <c r="T44" s="402">
        <v>6115</v>
      </c>
      <c r="U44" s="403">
        <f>L51</f>
        <v>0</v>
      </c>
      <c r="V44" s="715"/>
      <c r="W44" s="715"/>
      <c r="X44" s="534"/>
      <c r="Y44" s="613" t="s">
        <v>118</v>
      </c>
      <c r="Z44" s="613"/>
      <c r="AA44" s="402">
        <v>6101</v>
      </c>
      <c r="AB44" s="405">
        <f>ROUND(L46+L47,0)</f>
        <v>0</v>
      </c>
      <c r="AC44" s="405"/>
      <c r="AD44" s="405"/>
      <c r="AE44" s="534"/>
      <c r="AF44" s="405"/>
    </row>
    <row r="45" spans="1:35" s="88" customFormat="1" ht="15.75" thickBot="1" x14ac:dyDescent="0.3">
      <c r="A45" s="719" t="s">
        <v>156</v>
      </c>
      <c r="B45" s="720"/>
      <c r="C45" s="244"/>
      <c r="F45" s="26"/>
      <c r="G45" s="26"/>
      <c r="H45" s="24">
        <v>334</v>
      </c>
      <c r="L45" s="721">
        <f>O35-L46-L47</f>
        <v>0</v>
      </c>
      <c r="M45" s="721"/>
      <c r="N45" s="604"/>
      <c r="O45" s="604"/>
      <c r="Q45" s="604"/>
      <c r="R45" s="604"/>
      <c r="S45" s="523"/>
      <c r="T45" s="402">
        <v>6124</v>
      </c>
      <c r="U45" s="403">
        <f>L55</f>
        <v>0</v>
      </c>
      <c r="V45" s="715"/>
      <c r="W45" s="715"/>
      <c r="X45" s="534"/>
      <c r="Y45" s="613" t="s">
        <v>118</v>
      </c>
      <c r="Z45" s="613"/>
      <c r="AA45" s="402">
        <v>6115</v>
      </c>
      <c r="AB45" s="405">
        <f>ROUND(L52+L53,0)</f>
        <v>0</v>
      </c>
      <c r="AC45" s="405"/>
      <c r="AD45" s="405"/>
      <c r="AE45" s="534"/>
      <c r="AF45" s="405"/>
    </row>
    <row r="46" spans="1:35" s="88" customFormat="1" ht="15.75" thickTop="1" x14ac:dyDescent="0.25">
      <c r="A46" s="18"/>
      <c r="B46" s="18"/>
      <c r="C46" s="18"/>
      <c r="D46" s="407"/>
      <c r="F46" s="24"/>
      <c r="G46" s="24"/>
      <c r="H46" s="24" t="s">
        <v>111</v>
      </c>
      <c r="L46" s="721">
        <f>O35*8%</f>
        <v>0</v>
      </c>
      <c r="M46" s="721"/>
      <c r="N46" s="604"/>
      <c r="O46" s="604"/>
      <c r="Q46" s="604"/>
      <c r="R46" s="604"/>
      <c r="S46" s="523"/>
      <c r="T46" s="408" t="s">
        <v>86</v>
      </c>
      <c r="U46" s="409">
        <f>SUM(U41:U45)</f>
        <v>0</v>
      </c>
      <c r="V46" s="727">
        <f>SUM(V41:V45)</f>
        <v>0</v>
      </c>
      <c r="W46" s="727"/>
      <c r="X46" s="410">
        <f>SUM(X41:X45)</f>
        <v>0</v>
      </c>
      <c r="Y46" s="18"/>
      <c r="Z46" s="540" t="s">
        <v>86</v>
      </c>
      <c r="AA46" s="540"/>
      <c r="AB46" s="409">
        <f>SUM(AB41:AB45)</f>
        <v>0</v>
      </c>
      <c r="AC46" s="409"/>
      <c r="AD46" s="409"/>
      <c r="AE46" s="411"/>
      <c r="AF46" s="412"/>
      <c r="AG46" s="526"/>
      <c r="AH46" s="527"/>
    </row>
    <row r="47" spans="1:35" s="88" customFormat="1" ht="15" x14ac:dyDescent="0.25">
      <c r="A47" s="40"/>
      <c r="B47" s="18"/>
      <c r="C47" s="18"/>
      <c r="D47" s="18"/>
      <c r="F47" s="24"/>
      <c r="G47" s="24"/>
      <c r="H47" s="24" t="s">
        <v>113</v>
      </c>
      <c r="L47" s="728">
        <f>O35*1.5%</f>
        <v>0</v>
      </c>
      <c r="M47" s="728"/>
      <c r="N47" s="604"/>
      <c r="O47" s="604"/>
      <c r="Q47" s="604"/>
      <c r="R47" s="604"/>
      <c r="S47" s="18"/>
      <c r="T47" s="413"/>
      <c r="U47" s="413"/>
      <c r="V47" s="21"/>
      <c r="W47" s="18"/>
      <c r="X47" s="18"/>
      <c r="Y47" s="18"/>
      <c r="Z47" s="15"/>
      <c r="AA47" s="398"/>
      <c r="AB47" s="398"/>
      <c r="AC47" s="398"/>
      <c r="AD47" s="398"/>
      <c r="AE47" s="414"/>
      <c r="AF47" s="401"/>
      <c r="AG47" s="528"/>
    </row>
    <row r="48" spans="1:35" s="88" customFormat="1" ht="15" x14ac:dyDescent="0.25">
      <c r="A48" s="18"/>
      <c r="B48" s="18"/>
      <c r="C48" s="18"/>
      <c r="D48" s="18"/>
      <c r="F48" s="15"/>
      <c r="G48" s="15"/>
      <c r="H48" s="15">
        <v>6113</v>
      </c>
      <c r="L48" s="662">
        <f>L49</f>
        <v>0</v>
      </c>
      <c r="M48" s="662"/>
      <c r="N48" s="602"/>
      <c r="O48" s="602"/>
      <c r="Q48" s="602"/>
      <c r="R48" s="602"/>
      <c r="S48" s="18"/>
      <c r="T48" s="413"/>
      <c r="U48" s="413"/>
      <c r="V48" s="401"/>
      <c r="W48" s="718" t="s">
        <v>114</v>
      </c>
      <c r="X48" s="718"/>
      <c r="Y48" s="718"/>
      <c r="Z48" s="415" t="s">
        <v>115</v>
      </c>
      <c r="AA48" s="402">
        <v>6303</v>
      </c>
      <c r="AB48" s="416">
        <f>AB42/3*2</f>
        <v>0</v>
      </c>
      <c r="AC48" s="416"/>
      <c r="AD48" s="416"/>
      <c r="AE48" s="405"/>
      <c r="AF48" s="416"/>
    </row>
    <row r="49" spans="1:34" s="88" customFormat="1" ht="15" x14ac:dyDescent="0.25">
      <c r="A49" s="18"/>
      <c r="B49" s="18"/>
      <c r="C49" s="18"/>
      <c r="D49" s="18"/>
      <c r="F49" s="51"/>
      <c r="G49" s="51"/>
      <c r="H49" s="51">
        <v>334</v>
      </c>
      <c r="L49" s="603">
        <f>R35</f>
        <v>0</v>
      </c>
      <c r="M49" s="603"/>
      <c r="N49" s="604"/>
      <c r="O49" s="604"/>
      <c r="Q49" s="604"/>
      <c r="R49" s="604"/>
      <c r="S49" s="417" t="s">
        <v>116</v>
      </c>
      <c r="T49" s="18"/>
      <c r="U49" s="18"/>
      <c r="V49" s="1"/>
      <c r="W49" s="403"/>
      <c r="X49" s="409"/>
      <c r="Y49" s="409"/>
      <c r="Z49" s="401"/>
      <c r="AA49" s="401"/>
      <c r="AB49" s="409"/>
      <c r="AC49" s="409"/>
      <c r="AD49" s="409"/>
      <c r="AE49" s="258"/>
    </row>
    <row r="50" spans="1:34" s="88" customFormat="1" ht="15" x14ac:dyDescent="0.25">
      <c r="A50" s="18"/>
      <c r="B50" s="18"/>
      <c r="C50" s="18"/>
      <c r="D50" s="18"/>
      <c r="F50" s="15"/>
      <c r="G50" s="15"/>
      <c r="H50" s="15">
        <v>6115</v>
      </c>
      <c r="L50" s="662">
        <f>SUM(L51:M53)</f>
        <v>0</v>
      </c>
      <c r="M50" s="662"/>
      <c r="N50" s="602"/>
      <c r="O50" s="602"/>
      <c r="Q50" s="602"/>
      <c r="R50" s="602"/>
      <c r="S50" s="4"/>
      <c r="T50" s="18"/>
      <c r="U50" s="18"/>
      <c r="V50" s="18"/>
      <c r="W50" s="403"/>
      <c r="X50" s="409"/>
      <c r="Y50" s="409"/>
      <c r="Z50" s="401"/>
      <c r="AA50" s="401"/>
      <c r="AB50" s="409"/>
      <c r="AC50" s="409"/>
      <c r="AD50" s="409"/>
      <c r="AE50" s="258"/>
    </row>
    <row r="51" spans="1:34" s="88" customFormat="1" ht="15" x14ac:dyDescent="0.25">
      <c r="A51" s="18"/>
      <c r="B51" s="18"/>
      <c r="C51" s="18"/>
      <c r="D51" s="18"/>
      <c r="F51" s="51"/>
      <c r="G51" s="51"/>
      <c r="H51" s="51">
        <v>334</v>
      </c>
      <c r="L51" s="726">
        <f>(U35+AA35)-L52-L53</f>
        <v>0</v>
      </c>
      <c r="M51" s="726"/>
      <c r="N51" s="604"/>
      <c r="O51" s="604"/>
      <c r="Q51" s="604"/>
      <c r="R51" s="604"/>
      <c r="S51" s="4"/>
      <c r="T51" s="18"/>
      <c r="U51" s="18"/>
      <c r="V51" s="18"/>
      <c r="W51" s="403"/>
      <c r="X51" s="409"/>
      <c r="Y51" s="401"/>
      <c r="Z51" s="401"/>
      <c r="AA51" s="401"/>
      <c r="AB51" s="409"/>
      <c r="AC51" s="409"/>
      <c r="AD51" s="409"/>
      <c r="AE51" s="258"/>
      <c r="AH51" s="527"/>
    </row>
    <row r="52" spans="1:34" s="88" customFormat="1" ht="15" x14ac:dyDescent="0.25">
      <c r="A52" s="18"/>
      <c r="B52" s="18"/>
      <c r="C52" s="18"/>
      <c r="D52" s="18"/>
      <c r="F52" s="51"/>
      <c r="G52" s="51"/>
      <c r="H52" s="51" t="s">
        <v>111</v>
      </c>
      <c r="L52" s="723">
        <f>(U35+AA35)*8%</f>
        <v>0</v>
      </c>
      <c r="M52" s="723"/>
      <c r="N52" s="604"/>
      <c r="O52" s="604"/>
      <c r="Q52" s="604"/>
      <c r="R52" s="604"/>
      <c r="S52" s="18"/>
      <c r="T52" s="18"/>
      <c r="U52" s="18"/>
      <c r="V52" s="18"/>
      <c r="W52" s="403"/>
      <c r="X52" s="418"/>
      <c r="Y52" s="401"/>
      <c r="Z52" s="419"/>
      <c r="AA52" s="420"/>
      <c r="AB52" s="409"/>
      <c r="AC52" s="409"/>
      <c r="AD52" s="409"/>
      <c r="AE52" s="258"/>
    </row>
    <row r="53" spans="1:34" s="88" customFormat="1" ht="15" x14ac:dyDescent="0.25">
      <c r="A53" s="18"/>
      <c r="B53" s="1"/>
      <c r="C53" s="1"/>
      <c r="D53" s="1"/>
      <c r="F53" s="51"/>
      <c r="G53" s="51"/>
      <c r="H53" s="51" t="s">
        <v>113</v>
      </c>
      <c r="L53" s="723">
        <f>(U35+AA35)*1.5%</f>
        <v>0</v>
      </c>
      <c r="M53" s="723"/>
      <c r="N53" s="604"/>
      <c r="O53" s="604"/>
      <c r="Q53" s="604"/>
      <c r="R53" s="604"/>
      <c r="S53" s="18"/>
      <c r="T53" s="18"/>
      <c r="U53" s="18"/>
      <c r="V53" s="18"/>
      <c r="W53" s="1"/>
      <c r="X53" s="1"/>
      <c r="Y53" s="1"/>
      <c r="Z53" s="1"/>
      <c r="AA53" s="1"/>
      <c r="AB53" s="1"/>
      <c r="AC53" s="1"/>
      <c r="AD53" s="1"/>
      <c r="AE53" s="258"/>
    </row>
    <row r="54" spans="1:34" s="88" customFormat="1" ht="15" x14ac:dyDescent="0.25">
      <c r="A54" s="1"/>
      <c r="B54" s="1"/>
      <c r="C54" s="1"/>
      <c r="D54" s="1"/>
      <c r="F54" s="15"/>
      <c r="G54" s="15"/>
      <c r="H54" s="15">
        <v>6124</v>
      </c>
      <c r="L54" s="662">
        <f>L55</f>
        <v>0</v>
      </c>
      <c r="M54" s="662"/>
      <c r="N54" s="602"/>
      <c r="O54" s="602"/>
      <c r="Q54" s="602"/>
      <c r="R54" s="602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258"/>
    </row>
    <row r="55" spans="1:34" s="88" customFormat="1" ht="15" x14ac:dyDescent="0.25">
      <c r="A55" s="1"/>
      <c r="B55" s="1"/>
      <c r="C55" s="1"/>
      <c r="D55" s="1"/>
      <c r="F55" s="51"/>
      <c r="G55" s="51"/>
      <c r="H55" s="51">
        <v>334</v>
      </c>
      <c r="L55" s="603">
        <f>X35*5</f>
        <v>0</v>
      </c>
      <c r="M55" s="603"/>
      <c r="N55" s="604"/>
      <c r="O55" s="604"/>
      <c r="Q55" s="604"/>
      <c r="R55" s="604"/>
      <c r="S55" s="1"/>
      <c r="T55" s="1"/>
      <c r="U55" s="1"/>
      <c r="V55" s="1"/>
      <c r="W55" s="1"/>
      <c r="X55" s="1"/>
      <c r="Z55" s="53"/>
      <c r="AA55" s="1"/>
      <c r="AB55" s="1"/>
      <c r="AC55" s="1"/>
      <c r="AD55" s="1"/>
      <c r="AE55" s="258"/>
    </row>
    <row r="56" spans="1:34" s="472" customFormat="1" ht="17.25" x14ac:dyDescent="0.3">
      <c r="A56" s="471"/>
      <c r="D56" s="471"/>
      <c r="F56" s="532"/>
      <c r="G56" s="532"/>
      <c r="H56" s="532"/>
      <c r="L56" s="473"/>
      <c r="N56" s="473"/>
      <c r="O56" s="471"/>
      <c r="P56" s="474"/>
      <c r="Q56" s="471"/>
      <c r="R56" s="471"/>
      <c r="S56" s="471"/>
      <c r="T56" s="471"/>
      <c r="U56" s="471"/>
      <c r="V56" s="471"/>
      <c r="W56" s="471"/>
      <c r="X56" s="725" t="s">
        <v>353</v>
      </c>
      <c r="Y56" s="725"/>
      <c r="Z56" s="725"/>
      <c r="AA56" s="725"/>
      <c r="AB56" s="725"/>
      <c r="AC56" s="725"/>
      <c r="AD56" s="543"/>
      <c r="AE56" s="475"/>
    </row>
    <row r="57" spans="1:34" s="471" customFormat="1" ht="16.5" x14ac:dyDescent="0.25">
      <c r="G57" s="722" t="s">
        <v>296</v>
      </c>
      <c r="H57" s="722"/>
      <c r="I57" s="722"/>
      <c r="J57" s="722"/>
      <c r="K57" s="722"/>
      <c r="L57" s="532"/>
      <c r="Q57" s="722" t="s">
        <v>219</v>
      </c>
      <c r="R57" s="722"/>
      <c r="S57" s="722"/>
      <c r="Y57" s="722" t="s">
        <v>281</v>
      </c>
      <c r="Z57" s="722"/>
      <c r="AA57" s="722"/>
      <c r="AB57" s="722"/>
      <c r="AC57" s="532"/>
      <c r="AD57" s="532"/>
      <c r="AE57" s="476"/>
    </row>
    <row r="58" spans="1:34" s="471" customFormat="1" ht="16.5" x14ac:dyDescent="0.25">
      <c r="H58" s="532"/>
      <c r="I58" s="532"/>
      <c r="R58" s="542"/>
      <c r="W58" s="477"/>
      <c r="X58" s="477"/>
      <c r="Z58" s="722" t="s">
        <v>279</v>
      </c>
      <c r="AA58" s="722"/>
      <c r="AB58" s="722"/>
      <c r="AC58" s="532"/>
      <c r="AD58" s="532"/>
      <c r="AE58" s="476"/>
    </row>
    <row r="59" spans="1:34" s="471" customFormat="1" ht="51" customHeight="1" x14ac:dyDescent="0.25">
      <c r="H59" s="532"/>
      <c r="I59" s="532"/>
      <c r="L59" s="532"/>
      <c r="M59" s="477"/>
      <c r="N59" s="477"/>
      <c r="O59" s="478"/>
      <c r="Q59" s="477"/>
      <c r="R59" s="532"/>
      <c r="S59" s="477"/>
      <c r="U59" s="477"/>
      <c r="V59" s="477"/>
      <c r="AE59" s="476"/>
    </row>
    <row r="60" spans="1:34" s="471" customFormat="1" ht="16.5" x14ac:dyDescent="0.25">
      <c r="H60" s="542"/>
      <c r="I60" s="542"/>
      <c r="P60" s="477"/>
      <c r="R60" s="542"/>
      <c r="AE60" s="476"/>
    </row>
    <row r="61" spans="1:34" s="471" customFormat="1" ht="16.5" x14ac:dyDescent="0.25">
      <c r="G61" s="722"/>
      <c r="H61" s="722"/>
      <c r="I61" s="722"/>
      <c r="J61" s="479"/>
      <c r="K61" s="479"/>
      <c r="L61" s="479"/>
      <c r="Q61" s="722"/>
      <c r="R61" s="722"/>
      <c r="S61" s="722"/>
      <c r="W61" s="477"/>
      <c r="X61" s="477"/>
      <c r="Y61" s="722"/>
      <c r="Z61" s="722"/>
      <c r="AA61" s="722"/>
      <c r="AB61" s="722"/>
      <c r="AC61" s="532"/>
      <c r="AD61" s="532"/>
      <c r="AE61" s="476"/>
    </row>
    <row r="62" spans="1:34" s="88" customFormat="1" ht="15" x14ac:dyDescent="0.25">
      <c r="F62" s="1"/>
      <c r="G62" s="1"/>
      <c r="H62" s="1"/>
      <c r="I62" s="1"/>
      <c r="J62" s="1"/>
      <c r="K62" s="1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4"/>
      <c r="X62" s="4"/>
      <c r="Y62" s="4"/>
      <c r="Z62" s="4"/>
      <c r="AA62" s="4"/>
      <c r="AB62" s="4"/>
      <c r="AC62" s="4"/>
      <c r="AD62" s="4"/>
      <c r="AE62" s="258"/>
    </row>
    <row r="63" spans="1:34" s="88" customFormat="1" ht="15" x14ac:dyDescent="0.25">
      <c r="S63" s="523"/>
      <c r="AE63" s="258"/>
    </row>
  </sheetData>
  <mergeCells count="108">
    <mergeCell ref="AI5:AI7"/>
    <mergeCell ref="AC5:AC7"/>
    <mergeCell ref="AD5:AD7"/>
    <mergeCell ref="X56:AC56"/>
    <mergeCell ref="L55:M55"/>
    <mergeCell ref="N55:O55"/>
    <mergeCell ref="Q55:R55"/>
    <mergeCell ref="G57:K57"/>
    <mergeCell ref="Q57:S57"/>
    <mergeCell ref="Y57:AB57"/>
    <mergeCell ref="L49:M49"/>
    <mergeCell ref="N49:O49"/>
    <mergeCell ref="Q49:R49"/>
    <mergeCell ref="L50:M50"/>
    <mergeCell ref="N50:O50"/>
    <mergeCell ref="Q50:R50"/>
    <mergeCell ref="L51:M51"/>
    <mergeCell ref="N51:O51"/>
    <mergeCell ref="Q51:R51"/>
    <mergeCell ref="L46:M46"/>
    <mergeCell ref="N46:O46"/>
    <mergeCell ref="Q46:R46"/>
    <mergeCell ref="V46:W46"/>
    <mergeCell ref="L47:M47"/>
    <mergeCell ref="Z58:AB58"/>
    <mergeCell ref="G61:I61"/>
    <mergeCell ref="Q61:S61"/>
    <mergeCell ref="Y61:AB61"/>
    <mergeCell ref="L52:M52"/>
    <mergeCell ref="N52:O52"/>
    <mergeCell ref="Q52:R52"/>
    <mergeCell ref="L53:M53"/>
    <mergeCell ref="N53:O53"/>
    <mergeCell ref="Q53:R53"/>
    <mergeCell ref="L54:M54"/>
    <mergeCell ref="N54:O54"/>
    <mergeCell ref="Q54:R54"/>
    <mergeCell ref="A43:B43"/>
    <mergeCell ref="L43:M43"/>
    <mergeCell ref="N43:O43"/>
    <mergeCell ref="Q43:R43"/>
    <mergeCell ref="V43:W43"/>
    <mergeCell ref="Y43:Z43"/>
    <mergeCell ref="N47:O47"/>
    <mergeCell ref="Q47:R47"/>
    <mergeCell ref="L48:M48"/>
    <mergeCell ref="N48:O48"/>
    <mergeCell ref="Q48:R48"/>
    <mergeCell ref="W48:Y48"/>
    <mergeCell ref="A44:B44"/>
    <mergeCell ref="L44:M44"/>
    <mergeCell ref="N44:O44"/>
    <mergeCell ref="Q44:R44"/>
    <mergeCell ref="V44:W44"/>
    <mergeCell ref="Y44:Z44"/>
    <mergeCell ref="A45:B45"/>
    <mergeCell ref="L45:M45"/>
    <mergeCell ref="N45:O45"/>
    <mergeCell ref="Q45:R45"/>
    <mergeCell ref="V45:W45"/>
    <mergeCell ref="Y45:Z45"/>
    <mergeCell ref="A41:B41"/>
    <mergeCell ref="L41:M41"/>
    <mergeCell ref="N41:O41"/>
    <mergeCell ref="Q41:R41"/>
    <mergeCell ref="V41:W41"/>
    <mergeCell ref="Y41:Z41"/>
    <mergeCell ref="A42:B42"/>
    <mergeCell ref="L42:M42"/>
    <mergeCell ref="N42:O42"/>
    <mergeCell ref="Q42:R42"/>
    <mergeCell ref="V42:W42"/>
    <mergeCell ref="Y42:Z42"/>
    <mergeCell ref="B35:C35"/>
    <mergeCell ref="A40:B40"/>
    <mergeCell ref="L40:M40"/>
    <mergeCell ref="N40:O40"/>
    <mergeCell ref="Q40:R40"/>
    <mergeCell ref="V40:W40"/>
    <mergeCell ref="H5:H7"/>
    <mergeCell ref="I5:I7"/>
    <mergeCell ref="J5:M5"/>
    <mergeCell ref="N5:AA5"/>
    <mergeCell ref="B8:C8"/>
    <mergeCell ref="A1:M1"/>
    <mergeCell ref="N1:AH1"/>
    <mergeCell ref="A2:M2"/>
    <mergeCell ref="N2:AH2"/>
    <mergeCell ref="A3:AH3"/>
    <mergeCell ref="A5:A7"/>
    <mergeCell ref="B5:C7"/>
    <mergeCell ref="D5:E6"/>
    <mergeCell ref="F5:F7"/>
    <mergeCell ref="G5:G7"/>
    <mergeCell ref="AH5:AH7"/>
    <mergeCell ref="J6:J7"/>
    <mergeCell ref="L6:L7"/>
    <mergeCell ref="M6:M7"/>
    <mergeCell ref="N6:O6"/>
    <mergeCell ref="P6:R6"/>
    <mergeCell ref="S6:U6"/>
    <mergeCell ref="V6:X6"/>
    <mergeCell ref="Y6:AA6"/>
    <mergeCell ref="AB5:AB7"/>
    <mergeCell ref="AE5:AG5"/>
    <mergeCell ref="AF6:AF7"/>
    <mergeCell ref="AG6:AG7"/>
    <mergeCell ref="AE6:AE7"/>
  </mergeCells>
  <pageMargins left="0.2" right="0.2" top="0.5" bottom="0.5" header="0.3" footer="0.3"/>
  <pageSetup scale="60" orientation="landscape" verticalDpi="0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5"/>
  <sheetViews>
    <sheetView topLeftCell="A4" workbookViewId="0">
      <selection activeCell="Q28" sqref="Q28"/>
    </sheetView>
  </sheetViews>
  <sheetFormatPr defaultRowHeight="15" x14ac:dyDescent="0.25"/>
  <cols>
    <col min="1" max="1" width="5.28515625" customWidth="1"/>
    <col min="2" max="2" width="16" customWidth="1"/>
    <col min="3" max="3" width="8" customWidth="1"/>
    <col min="4" max="4" width="12.5703125" hidden="1" customWidth="1"/>
    <col min="5" max="6" width="9.140625" hidden="1" customWidth="1"/>
    <col min="7" max="7" width="14.140625" hidden="1" customWidth="1"/>
    <col min="8" max="8" width="14.140625" customWidth="1"/>
    <col min="9" max="9" width="7.5703125" customWidth="1"/>
    <col min="10" max="10" width="6.5703125" hidden="1" customWidth="1"/>
    <col min="11" max="11" width="9.140625" hidden="1" customWidth="1"/>
    <col min="12" max="12" width="14.28515625" customWidth="1"/>
    <col min="13" max="13" width="5.85546875" customWidth="1"/>
    <col min="14" max="14" width="8.28515625" customWidth="1"/>
    <col min="16" max="16" width="5.42578125" customWidth="1"/>
    <col min="17" max="17" width="5.140625" customWidth="1"/>
    <col min="18" max="18" width="7.28515625" customWidth="1"/>
    <col min="19" max="19" width="13.28515625" customWidth="1"/>
    <col min="20" max="20" width="9" customWidth="1"/>
    <col min="21" max="21" width="9.5703125" customWidth="1"/>
    <col min="22" max="22" width="7.140625" customWidth="1"/>
    <col min="23" max="23" width="12.5703125" customWidth="1"/>
    <col min="24" max="24" width="27.7109375" customWidth="1"/>
    <col min="25" max="25" width="18.140625" bestFit="1" customWidth="1"/>
  </cols>
  <sheetData>
    <row r="1" spans="1:29" s="1" customFormat="1" x14ac:dyDescent="0.25">
      <c r="A1" s="630"/>
      <c r="B1" s="630"/>
      <c r="C1" s="630"/>
      <c r="D1" s="630"/>
      <c r="E1" s="630"/>
      <c r="F1" s="630"/>
      <c r="G1" s="630"/>
      <c r="H1" s="630"/>
      <c r="I1" s="630"/>
      <c r="J1" s="630"/>
      <c r="K1" s="630"/>
      <c r="L1" s="630"/>
      <c r="M1" s="631" t="s">
        <v>1</v>
      </c>
      <c r="N1" s="631"/>
      <c r="O1" s="631"/>
      <c r="P1" s="631"/>
      <c r="Q1" s="631"/>
      <c r="R1" s="631"/>
      <c r="S1" s="631"/>
      <c r="T1" s="631"/>
      <c r="U1" s="631"/>
      <c r="V1" s="631"/>
      <c r="W1" s="631"/>
      <c r="X1" s="631"/>
      <c r="Z1" s="4"/>
      <c r="AA1" s="4"/>
      <c r="AB1" s="4"/>
      <c r="AC1" s="4"/>
    </row>
    <row r="2" spans="1:29" s="1" customFormat="1" x14ac:dyDescent="0.25">
      <c r="A2" s="631" t="s">
        <v>2</v>
      </c>
      <c r="B2" s="631"/>
      <c r="C2" s="631"/>
      <c r="D2" s="631"/>
      <c r="E2" s="631"/>
      <c r="F2" s="631"/>
      <c r="G2" s="631"/>
      <c r="H2" s="631"/>
      <c r="I2" s="631"/>
      <c r="J2" s="631"/>
      <c r="K2" s="631"/>
      <c r="L2" s="631"/>
      <c r="M2" s="632" t="s">
        <v>3</v>
      </c>
      <c r="N2" s="632"/>
      <c r="O2" s="632"/>
      <c r="P2" s="632"/>
      <c r="Q2" s="632"/>
      <c r="R2" s="632"/>
      <c r="S2" s="632"/>
      <c r="T2" s="632"/>
      <c r="U2" s="632"/>
      <c r="V2" s="632"/>
      <c r="W2" s="632"/>
      <c r="X2" s="632"/>
      <c r="Z2" s="4"/>
      <c r="AA2" s="4"/>
      <c r="AB2" s="4"/>
      <c r="AC2" s="4"/>
    </row>
    <row r="3" spans="1:29" s="1" customFormat="1" x14ac:dyDescent="0.25">
      <c r="B3" s="482"/>
      <c r="C3" s="482"/>
      <c r="N3" s="5"/>
      <c r="O3" s="3"/>
      <c r="P3" s="3"/>
      <c r="Q3" s="4"/>
      <c r="R3" s="4"/>
      <c r="S3" s="4"/>
      <c r="T3" s="4"/>
      <c r="U3" s="4"/>
      <c r="V3" s="4"/>
      <c r="W3" s="4"/>
      <c r="X3" s="4"/>
      <c r="Z3" s="4"/>
      <c r="AA3" s="6"/>
      <c r="AB3" s="4"/>
      <c r="AC3" s="4"/>
    </row>
    <row r="4" spans="1:29" s="1" customFormat="1" x14ac:dyDescent="0.25">
      <c r="B4" s="482"/>
      <c r="C4" s="482"/>
      <c r="N4" s="5"/>
      <c r="O4" s="3"/>
      <c r="P4" s="3"/>
      <c r="Q4" s="4"/>
      <c r="R4" s="4"/>
      <c r="S4" s="4"/>
      <c r="T4" s="4"/>
      <c r="U4" s="4"/>
      <c r="V4" s="4"/>
      <c r="W4" s="4"/>
      <c r="X4" s="4"/>
      <c r="Z4" s="4"/>
      <c r="AA4" s="6"/>
      <c r="AB4" s="4"/>
      <c r="AC4" s="4"/>
    </row>
    <row r="5" spans="1:29" s="1" customFormat="1" ht="19.5" x14ac:dyDescent="0.3">
      <c r="A5" s="751" t="s">
        <v>328</v>
      </c>
      <c r="B5" s="751"/>
      <c r="C5" s="751"/>
      <c r="D5" s="751"/>
      <c r="E5" s="751"/>
      <c r="F5" s="751"/>
      <c r="G5" s="751"/>
      <c r="H5" s="751"/>
      <c r="I5" s="751"/>
      <c r="J5" s="751"/>
      <c r="K5" s="751"/>
      <c r="L5" s="751"/>
      <c r="M5" s="751"/>
      <c r="N5" s="751"/>
      <c r="O5" s="751"/>
      <c r="P5" s="751"/>
      <c r="Q5" s="751"/>
      <c r="R5" s="751"/>
      <c r="S5" s="751"/>
      <c r="T5" s="751"/>
      <c r="U5" s="751"/>
      <c r="V5" s="751"/>
      <c r="W5" s="751"/>
      <c r="X5" s="751"/>
      <c r="Y5" s="53"/>
      <c r="Z5" s="53"/>
      <c r="AA5" s="53"/>
      <c r="AB5" s="53"/>
      <c r="AC5" s="53"/>
    </row>
    <row r="6" spans="1:29" s="1" customFormat="1" ht="19.5" x14ac:dyDescent="0.3">
      <c r="A6" s="752" t="s">
        <v>276</v>
      </c>
      <c r="B6" s="752"/>
      <c r="C6" s="752"/>
      <c r="D6" s="752"/>
      <c r="E6" s="752"/>
      <c r="F6" s="752"/>
      <c r="G6" s="752"/>
      <c r="H6" s="752"/>
      <c r="I6" s="752"/>
      <c r="J6" s="752"/>
      <c r="K6" s="752"/>
      <c r="L6" s="752"/>
      <c r="M6" s="752"/>
      <c r="N6" s="752"/>
      <c r="O6" s="752"/>
      <c r="P6" s="752"/>
      <c r="Q6" s="752"/>
      <c r="R6" s="752"/>
      <c r="S6" s="752"/>
      <c r="T6" s="752"/>
      <c r="U6" s="752"/>
      <c r="V6" s="752"/>
      <c r="W6" s="752"/>
      <c r="X6" s="752"/>
      <c r="Y6" s="54"/>
      <c r="Z6" s="54"/>
      <c r="AA6" s="54"/>
      <c r="AB6" s="54"/>
      <c r="AC6" s="54"/>
    </row>
    <row r="7" spans="1:29" s="1" customFormat="1" ht="18.75" customHeight="1" x14ac:dyDescent="0.25">
      <c r="A7" s="7" t="s">
        <v>274</v>
      </c>
      <c r="D7" s="8"/>
      <c r="E7" s="7"/>
      <c r="L7" s="3"/>
      <c r="M7" s="3"/>
      <c r="N7" s="3"/>
      <c r="O7" s="3"/>
      <c r="P7" s="3"/>
      <c r="Q7" s="4"/>
      <c r="R7" s="4"/>
      <c r="S7" s="4"/>
      <c r="T7" s="4"/>
      <c r="U7" s="4"/>
      <c r="V7" s="4"/>
      <c r="W7" s="9" t="s">
        <v>5</v>
      </c>
      <c r="X7" s="4"/>
      <c r="Y7" s="4"/>
      <c r="Z7" s="4"/>
      <c r="AA7" s="4"/>
      <c r="AC7" s="4"/>
    </row>
    <row r="8" spans="1:29" s="1" customFormat="1" ht="24" customHeight="1" x14ac:dyDescent="0.25">
      <c r="A8" s="750" t="s">
        <v>6</v>
      </c>
      <c r="B8" s="753" t="s">
        <v>82</v>
      </c>
      <c r="C8" s="754"/>
      <c r="D8" s="750" t="s">
        <v>8</v>
      </c>
      <c r="E8" s="750"/>
      <c r="F8" s="749" t="s">
        <v>9</v>
      </c>
      <c r="G8" s="643" t="s">
        <v>164</v>
      </c>
      <c r="H8" s="749" t="s">
        <v>10</v>
      </c>
      <c r="I8" s="749" t="s">
        <v>11</v>
      </c>
      <c r="J8" s="759" t="s">
        <v>84</v>
      </c>
      <c r="K8" s="759"/>
      <c r="L8" s="759"/>
      <c r="M8" s="748" t="s">
        <v>120</v>
      </c>
      <c r="N8" s="748"/>
      <c r="O8" s="748"/>
      <c r="P8" s="748" t="s">
        <v>121</v>
      </c>
      <c r="Q8" s="748"/>
      <c r="R8" s="748"/>
      <c r="S8" s="742" t="s">
        <v>14</v>
      </c>
      <c r="T8" s="742" t="s">
        <v>15</v>
      </c>
      <c r="U8" s="739" t="s">
        <v>322</v>
      </c>
      <c r="V8" s="739" t="s">
        <v>326</v>
      </c>
      <c r="W8" s="742" t="s">
        <v>333</v>
      </c>
      <c r="X8" s="742" t="s">
        <v>116</v>
      </c>
    </row>
    <row r="9" spans="1:29" s="1" customFormat="1" ht="24" customHeight="1" x14ac:dyDescent="0.25">
      <c r="A9" s="750"/>
      <c r="B9" s="755"/>
      <c r="C9" s="756"/>
      <c r="D9" s="750"/>
      <c r="E9" s="750"/>
      <c r="F9" s="750"/>
      <c r="G9" s="644"/>
      <c r="H9" s="750"/>
      <c r="I9" s="750"/>
      <c r="J9" s="744" t="s">
        <v>12</v>
      </c>
      <c r="K9" s="745" t="s">
        <v>13</v>
      </c>
      <c r="L9" s="746" t="s">
        <v>89</v>
      </c>
      <c r="M9" s="747" t="s">
        <v>100</v>
      </c>
      <c r="N9" s="745" t="s">
        <v>13</v>
      </c>
      <c r="O9" s="746" t="s">
        <v>119</v>
      </c>
      <c r="P9" s="747" t="s">
        <v>100</v>
      </c>
      <c r="Q9" s="745" t="s">
        <v>13</v>
      </c>
      <c r="R9" s="747" t="s">
        <v>16</v>
      </c>
      <c r="S9" s="743"/>
      <c r="T9" s="743"/>
      <c r="U9" s="740"/>
      <c r="V9" s="740"/>
      <c r="W9" s="743"/>
      <c r="X9" s="743"/>
    </row>
    <row r="10" spans="1:29" s="1" customFormat="1" ht="24" customHeight="1" x14ac:dyDescent="0.25">
      <c r="A10" s="750"/>
      <c r="B10" s="757"/>
      <c r="C10" s="758"/>
      <c r="D10" s="483" t="s">
        <v>17</v>
      </c>
      <c r="E10" s="483" t="s">
        <v>18</v>
      </c>
      <c r="F10" s="750"/>
      <c r="G10" s="645"/>
      <c r="H10" s="750"/>
      <c r="I10" s="750"/>
      <c r="J10" s="744"/>
      <c r="K10" s="745"/>
      <c r="L10" s="746"/>
      <c r="M10" s="747"/>
      <c r="N10" s="745"/>
      <c r="O10" s="746"/>
      <c r="P10" s="747"/>
      <c r="Q10" s="745"/>
      <c r="R10" s="748"/>
      <c r="S10" s="743"/>
      <c r="T10" s="743"/>
      <c r="U10" s="741"/>
      <c r="V10" s="741"/>
      <c r="W10" s="743"/>
      <c r="X10" s="743"/>
    </row>
    <row r="11" spans="1:29" s="1" customFormat="1" ht="30" customHeight="1" x14ac:dyDescent="0.25">
      <c r="A11" s="41">
        <f>IF(B11&lt;&gt;"",COUNTA($B$11:B11),"")</f>
        <v>1</v>
      </c>
      <c r="B11" s="245" t="s">
        <v>272</v>
      </c>
      <c r="C11" s="246" t="s">
        <v>267</v>
      </c>
      <c r="D11" s="41">
        <v>1961</v>
      </c>
      <c r="E11" s="41"/>
      <c r="F11" s="41">
        <v>1993</v>
      </c>
      <c r="G11" s="153">
        <v>5700205047976</v>
      </c>
      <c r="H11" s="171" t="s">
        <v>75</v>
      </c>
      <c r="I11" s="73" t="s">
        <v>76</v>
      </c>
      <c r="J11" s="73" t="s">
        <v>36</v>
      </c>
      <c r="K11" s="74">
        <v>3.48</v>
      </c>
      <c r="L11" s="75">
        <v>7100000</v>
      </c>
      <c r="M11" s="76"/>
      <c r="N11" s="74"/>
      <c r="O11" s="43"/>
      <c r="P11" s="76"/>
      <c r="Q11" s="74"/>
      <c r="R11" s="43"/>
      <c r="S11" s="75">
        <f>(L11+O11+R11)</f>
        <v>7100000</v>
      </c>
      <c r="T11" s="75">
        <f>ROUND((L11+O11)*0.095,0)*0</f>
        <v>0</v>
      </c>
      <c r="U11" s="75">
        <f>ROUND((L11+O11)*0.01,0)</f>
        <v>71000</v>
      </c>
      <c r="V11" s="75">
        <v>15</v>
      </c>
      <c r="W11" s="75">
        <f>U11*V11*0</f>
        <v>0</v>
      </c>
      <c r="X11" s="42" t="s">
        <v>327</v>
      </c>
      <c r="Z11" s="4"/>
    </row>
    <row r="12" spans="1:29" s="1" customFormat="1" ht="30" customHeight="1" x14ac:dyDescent="0.25">
      <c r="A12" s="44">
        <f>IF(B12&lt;&gt;"",COUNTA($B$11:B12),"")</f>
        <v>2</v>
      </c>
      <c r="B12" s="247" t="s">
        <v>227</v>
      </c>
      <c r="C12" s="248" t="s">
        <v>273</v>
      </c>
      <c r="D12" s="44">
        <v>1968</v>
      </c>
      <c r="E12" s="44"/>
      <c r="F12" s="44">
        <v>2016</v>
      </c>
      <c r="G12" s="154">
        <v>5700205345800</v>
      </c>
      <c r="H12" s="172" t="s">
        <v>34</v>
      </c>
      <c r="I12" s="77" t="s">
        <v>35</v>
      </c>
      <c r="J12" s="77" t="s">
        <v>36</v>
      </c>
      <c r="K12" s="78">
        <v>4.03</v>
      </c>
      <c r="L12" s="79">
        <v>8100000</v>
      </c>
      <c r="M12" s="80"/>
      <c r="N12" s="78"/>
      <c r="O12" s="46"/>
      <c r="P12" s="80"/>
      <c r="Q12" s="78"/>
      <c r="R12" s="46"/>
      <c r="S12" s="79">
        <f t="shared" ref="S12:S13" si="0">(L12+O12+R12)</f>
        <v>8100000</v>
      </c>
      <c r="T12" s="79">
        <f>ROUND((L12+O12)*0.095,0)*0</f>
        <v>0</v>
      </c>
      <c r="U12" s="79">
        <f>ROUND((L12+O12)*0.01,0)</f>
        <v>81000</v>
      </c>
      <c r="V12" s="79">
        <v>15</v>
      </c>
      <c r="W12" s="79">
        <f>U12*V12*0</f>
        <v>0</v>
      </c>
      <c r="X12" s="45" t="s">
        <v>327</v>
      </c>
      <c r="Z12" s="4"/>
    </row>
    <row r="13" spans="1:29" s="1" customFormat="1" ht="30" customHeight="1" x14ac:dyDescent="0.25">
      <c r="A13" s="254">
        <f>IF(B13&lt;&gt;"",COUNTA($B$11:B13),"")</f>
        <v>3</v>
      </c>
      <c r="B13" s="249" t="s">
        <v>284</v>
      </c>
      <c r="C13" s="250" t="s">
        <v>285</v>
      </c>
      <c r="D13" s="161"/>
      <c r="E13" s="161">
        <v>1965</v>
      </c>
      <c r="F13" s="161">
        <v>2012</v>
      </c>
      <c r="G13" s="162">
        <v>5700205194000</v>
      </c>
      <c r="H13" s="173" t="s">
        <v>79</v>
      </c>
      <c r="I13" s="163" t="s">
        <v>80</v>
      </c>
      <c r="J13" s="164" t="s">
        <v>81</v>
      </c>
      <c r="K13" s="165">
        <v>1.9</v>
      </c>
      <c r="L13" s="168">
        <v>4000000</v>
      </c>
      <c r="M13" s="166"/>
      <c r="N13" s="165"/>
      <c r="O13" s="167"/>
      <c r="P13" s="166"/>
      <c r="Q13" s="165"/>
      <c r="R13" s="167"/>
      <c r="S13" s="168">
        <f t="shared" si="0"/>
        <v>4000000</v>
      </c>
      <c r="T13" s="168">
        <f>ROUND((L13+O13)*0.095,0)*0</f>
        <v>0</v>
      </c>
      <c r="U13" s="168">
        <f>ROUND((L13+O13)*0.01,0)</f>
        <v>40000</v>
      </c>
      <c r="V13" s="168">
        <v>10</v>
      </c>
      <c r="W13" s="168">
        <f>U13*V13*0</f>
        <v>0</v>
      </c>
      <c r="X13" s="169" t="s">
        <v>329</v>
      </c>
      <c r="Z13" s="4"/>
    </row>
    <row r="14" spans="1:29" s="2" customFormat="1" ht="25.5" customHeight="1" x14ac:dyDescent="0.2">
      <c r="A14" s="255"/>
      <c r="B14" s="729" t="s">
        <v>72</v>
      </c>
      <c r="C14" s="730"/>
      <c r="D14" s="155"/>
      <c r="E14" s="155"/>
      <c r="F14" s="155"/>
      <c r="G14" s="155"/>
      <c r="H14" s="156"/>
      <c r="I14" s="157"/>
      <c r="J14" s="157"/>
      <c r="K14" s="158">
        <f>SUM(K11:K13)</f>
        <v>9.41</v>
      </c>
      <c r="L14" s="159">
        <f>SUM(L11:L13)</f>
        <v>19200000</v>
      </c>
      <c r="M14" s="160"/>
      <c r="N14" s="158">
        <f>SUM(N11:N13)</f>
        <v>0</v>
      </c>
      <c r="O14" s="159">
        <f>SUM(O11:O13)</f>
        <v>0</v>
      </c>
      <c r="P14" s="160"/>
      <c r="Q14" s="160"/>
      <c r="R14" s="159">
        <f>SUM(R11:R13)</f>
        <v>0</v>
      </c>
      <c r="S14" s="499">
        <f>SUM(S11:S13)</f>
        <v>19200000</v>
      </c>
      <c r="T14" s="499">
        <f>SUM(T11:T13)</f>
        <v>0</v>
      </c>
      <c r="U14" s="499">
        <f t="shared" ref="U14:V14" si="1">SUM(U11:U13)</f>
        <v>192000</v>
      </c>
      <c r="V14" s="499">
        <f t="shared" si="1"/>
        <v>40</v>
      </c>
      <c r="W14" s="499">
        <f>SUM(W11:W13)</f>
        <v>0</v>
      </c>
      <c r="X14" s="500"/>
    </row>
    <row r="15" spans="1:29" s="2" customFormat="1" ht="25.5" customHeight="1" x14ac:dyDescent="0.2">
      <c r="A15" s="485"/>
      <c r="B15" s="486"/>
      <c r="C15" s="486"/>
      <c r="D15" s="485"/>
      <c r="E15" s="485"/>
      <c r="F15" s="485"/>
      <c r="G15" s="485"/>
      <c r="H15" s="487"/>
      <c r="I15" s="488"/>
      <c r="J15" s="488"/>
      <c r="K15" s="489"/>
      <c r="L15" s="490"/>
      <c r="M15" s="491"/>
      <c r="N15" s="489"/>
      <c r="O15" s="490"/>
      <c r="P15" s="491"/>
      <c r="Q15" s="491"/>
      <c r="R15" s="490"/>
      <c r="S15" s="487"/>
      <c r="T15" s="487"/>
      <c r="U15" s="487"/>
      <c r="V15" s="487"/>
      <c r="W15" s="487"/>
      <c r="X15" s="492"/>
    </row>
    <row r="16" spans="1:29" s="55" customFormat="1" ht="24" customHeight="1" x14ac:dyDescent="0.4">
      <c r="B16" s="65" t="s">
        <v>73</v>
      </c>
      <c r="C16" s="56"/>
      <c r="D16" s="484"/>
      <c r="E16" s="57"/>
      <c r="F16" s="57"/>
      <c r="G16" s="57"/>
      <c r="H16" s="58"/>
      <c r="I16" s="58"/>
      <c r="K16" s="59"/>
      <c r="R16" s="493" t="s">
        <v>122</v>
      </c>
      <c r="S16" s="494"/>
      <c r="T16" s="494"/>
    </row>
    <row r="17" spans="2:25" s="55" customFormat="1" ht="24" customHeight="1" x14ac:dyDescent="0.25">
      <c r="B17" s="60">
        <v>6051</v>
      </c>
      <c r="C17" s="60"/>
      <c r="D17" s="61">
        <f>SUM(D18:D20)</f>
        <v>19200000</v>
      </c>
      <c r="H17" s="62">
        <f>SUM(H18:H25)</f>
        <v>0</v>
      </c>
      <c r="K17" s="63"/>
      <c r="L17" s="64" t="s">
        <v>123</v>
      </c>
      <c r="M17" s="731" t="s">
        <v>124</v>
      </c>
      <c r="N17" s="731"/>
      <c r="O17" s="732">
        <f>(L14+O14)*17.5%*0</f>
        <v>0</v>
      </c>
      <c r="P17" s="732"/>
      <c r="R17" s="495">
        <v>6051</v>
      </c>
      <c r="S17" s="496">
        <f>H18+H22+H25</f>
        <v>-2680000</v>
      </c>
      <c r="T17" s="494"/>
      <c r="W17" s="252"/>
    </row>
    <row r="18" spans="2:25" s="55" customFormat="1" ht="24" customHeight="1" x14ac:dyDescent="0.25">
      <c r="B18" s="60" t="s">
        <v>153</v>
      </c>
      <c r="C18" s="60"/>
      <c r="D18" s="61">
        <f>(L14-D19-D20)</f>
        <v>17376000</v>
      </c>
      <c r="E18" s="70"/>
      <c r="F18" s="70"/>
      <c r="G18" s="70"/>
      <c r="H18" s="71">
        <f>(L14*0)-H19-H20-H21</f>
        <v>-2680000</v>
      </c>
      <c r="K18" s="57"/>
      <c r="L18" s="64" t="s">
        <v>125</v>
      </c>
      <c r="M18" s="731" t="s">
        <v>126</v>
      </c>
      <c r="N18" s="731"/>
      <c r="O18" s="732">
        <f>(L14+O14)*3%*0</f>
        <v>0</v>
      </c>
      <c r="P18" s="732"/>
      <c r="R18" s="497" t="s">
        <v>127</v>
      </c>
      <c r="S18" s="494"/>
      <c r="T18" s="494"/>
    </row>
    <row r="19" spans="2:25" s="55" customFormat="1" ht="24" customHeight="1" x14ac:dyDescent="0.25">
      <c r="B19" s="66" t="s">
        <v>128</v>
      </c>
      <c r="C19" s="66"/>
      <c r="D19" s="67">
        <f>L14*8%</f>
        <v>1536000</v>
      </c>
      <c r="H19" s="62">
        <f>L14*8%*0</f>
        <v>0</v>
      </c>
      <c r="K19" s="57"/>
      <c r="L19" s="64" t="s">
        <v>324</v>
      </c>
      <c r="M19" s="733" t="s">
        <v>325</v>
      </c>
      <c r="N19" s="733"/>
      <c r="O19" s="734">
        <f>((L11+O11)*1%*15)+((L12+O12)*1%*15)+((L13+O13)*1%*10)</f>
        <v>2680000</v>
      </c>
      <c r="P19" s="734"/>
      <c r="R19" s="495">
        <v>6051</v>
      </c>
      <c r="S19" s="498">
        <f>W14+O20</f>
        <v>2680000</v>
      </c>
      <c r="T19" s="496"/>
      <c r="U19" s="62"/>
      <c r="V19" s="62"/>
    </row>
    <row r="20" spans="2:25" s="55" customFormat="1" ht="24" customHeight="1" x14ac:dyDescent="0.25">
      <c r="B20" s="66" t="s">
        <v>129</v>
      </c>
      <c r="C20" s="66"/>
      <c r="D20" s="67">
        <f>L14*1.5%</f>
        <v>288000</v>
      </c>
      <c r="H20" s="62">
        <f>L14*1.5%*0</f>
        <v>0</v>
      </c>
      <c r="K20" s="57"/>
      <c r="L20" s="735" t="s">
        <v>86</v>
      </c>
      <c r="M20" s="735"/>
      <c r="N20" s="735"/>
      <c r="O20" s="736">
        <f>SUM(O17:O19)</f>
        <v>2680000</v>
      </c>
      <c r="P20" s="736"/>
      <c r="R20" s="737" t="s">
        <v>130</v>
      </c>
      <c r="S20" s="737"/>
      <c r="T20" s="737"/>
      <c r="Y20" s="287"/>
    </row>
    <row r="21" spans="2:25" s="55" customFormat="1" ht="24" customHeight="1" x14ac:dyDescent="0.25">
      <c r="B21" s="66" t="s">
        <v>323</v>
      </c>
      <c r="C21" s="66"/>
      <c r="D21" s="67"/>
      <c r="H21" s="62">
        <f>(L11*1%)*15+(L12*1%*15)+(L13*1%*10)</f>
        <v>2680000</v>
      </c>
      <c r="K21" s="57"/>
      <c r="R21" s="497"/>
      <c r="S21" s="494"/>
      <c r="T21" s="494"/>
      <c r="Y21" s="287"/>
    </row>
    <row r="22" spans="2:25" s="55" customFormat="1" ht="24" customHeight="1" x14ac:dyDescent="0.25">
      <c r="B22" s="60" t="s">
        <v>154</v>
      </c>
      <c r="C22" s="60"/>
      <c r="D22" s="69"/>
      <c r="E22" s="70"/>
      <c r="F22" s="70"/>
      <c r="G22" s="70"/>
      <c r="H22" s="91">
        <f>O14-H23-H24</f>
        <v>0</v>
      </c>
      <c r="K22" s="68"/>
      <c r="L22" s="64" t="s">
        <v>131</v>
      </c>
      <c r="M22" s="738" t="s">
        <v>132</v>
      </c>
      <c r="N22" s="738"/>
      <c r="O22" s="732">
        <f>O18/3*2</f>
        <v>0</v>
      </c>
      <c r="P22" s="732"/>
      <c r="R22" s="495">
        <v>6051</v>
      </c>
      <c r="S22" s="496">
        <f>O22</f>
        <v>0</v>
      </c>
      <c r="T22" s="494"/>
      <c r="Y22" s="252"/>
    </row>
    <row r="23" spans="2:25" s="55" customFormat="1" ht="24" customHeight="1" x14ac:dyDescent="0.2">
      <c r="B23" s="66" t="s">
        <v>128</v>
      </c>
      <c r="C23" s="66"/>
      <c r="H23" s="62">
        <f>O14*8%</f>
        <v>0</v>
      </c>
      <c r="R23" s="494"/>
      <c r="S23" s="494"/>
      <c r="T23" s="494"/>
      <c r="Y23" s="288"/>
    </row>
    <row r="24" spans="2:25" s="55" customFormat="1" ht="24" customHeight="1" x14ac:dyDescent="0.25">
      <c r="B24" s="66" t="s">
        <v>129</v>
      </c>
      <c r="C24" s="66"/>
      <c r="H24" s="62">
        <f>O14*1.5%</f>
        <v>0</v>
      </c>
      <c r="L24" s="90" t="s">
        <v>157</v>
      </c>
      <c r="M24" s="1"/>
    </row>
    <row r="25" spans="2:25" ht="24" customHeight="1" x14ac:dyDescent="0.25">
      <c r="B25" s="40" t="s">
        <v>155</v>
      </c>
      <c r="C25" s="40"/>
      <c r="D25" s="72"/>
      <c r="E25" s="72"/>
      <c r="F25" s="72"/>
      <c r="G25" s="72"/>
      <c r="H25" s="71">
        <f>R14</f>
        <v>0</v>
      </c>
    </row>
    <row r="26" spans="2:25" ht="24" customHeight="1" x14ac:dyDescent="0.25">
      <c r="B26" s="40"/>
      <c r="C26" s="40"/>
      <c r="D26" s="72"/>
      <c r="E26" s="72"/>
      <c r="F26" s="72"/>
      <c r="G26" s="72"/>
      <c r="H26" s="71"/>
      <c r="S26" s="597" t="s">
        <v>332</v>
      </c>
      <c r="T26" s="597"/>
      <c r="U26" s="597"/>
      <c r="V26" s="597"/>
      <c r="W26" s="597"/>
      <c r="X26" s="597"/>
    </row>
    <row r="27" spans="2:25" s="88" customFormat="1" ht="24" customHeight="1" x14ac:dyDescent="0.25">
      <c r="S27" s="598" t="s">
        <v>280</v>
      </c>
      <c r="T27" s="598"/>
      <c r="U27" s="598"/>
      <c r="V27" s="598"/>
      <c r="W27" s="598"/>
      <c r="X27" s="598"/>
    </row>
    <row r="28" spans="2:25" s="88" customFormat="1" ht="16.5" x14ac:dyDescent="0.25">
      <c r="B28" s="598" t="s">
        <v>300</v>
      </c>
      <c r="C28" s="598"/>
      <c r="D28" s="598"/>
      <c r="E28" s="598"/>
      <c r="F28" s="598"/>
      <c r="G28" s="598"/>
      <c r="H28" s="598"/>
      <c r="M28" s="598" t="s">
        <v>219</v>
      </c>
      <c r="N28" s="598"/>
      <c r="O28" s="598"/>
      <c r="S28" s="722" t="s">
        <v>279</v>
      </c>
      <c r="T28" s="722"/>
      <c r="U28" s="722"/>
      <c r="V28" s="722"/>
      <c r="W28" s="722"/>
      <c r="X28" s="722"/>
    </row>
    <row r="29" spans="2:25" s="88" customFormat="1" ht="15.75" x14ac:dyDescent="0.25">
      <c r="D29" s="481"/>
      <c r="N29" s="480"/>
      <c r="S29" s="2"/>
      <c r="X29" s="89"/>
    </row>
    <row r="30" spans="2:25" s="88" customFormat="1" ht="15.75" x14ac:dyDescent="0.25">
      <c r="D30" s="480"/>
      <c r="N30" s="481"/>
      <c r="W30" s="17"/>
      <c r="X30" s="17"/>
    </row>
    <row r="31" spans="2:25" s="88" customFormat="1" ht="15.75" x14ac:dyDescent="0.25">
      <c r="D31" s="480"/>
      <c r="N31" s="480"/>
      <c r="S31" s="481"/>
      <c r="T31" s="481"/>
      <c r="U31" s="481"/>
      <c r="V31" s="481"/>
      <c r="W31" s="17"/>
      <c r="X31" s="17"/>
    </row>
    <row r="32" spans="2:25" s="88" customFormat="1" ht="15.75" x14ac:dyDescent="0.25">
      <c r="D32" s="480"/>
      <c r="N32" s="480"/>
      <c r="S32" s="17"/>
      <c r="T32" s="17"/>
      <c r="U32" s="17"/>
      <c r="V32" s="17"/>
      <c r="W32" s="17"/>
      <c r="X32" s="17"/>
    </row>
    <row r="33" spans="2:24" s="88" customFormat="1" ht="15.75" x14ac:dyDescent="0.25">
      <c r="B33" s="598" t="s">
        <v>297</v>
      </c>
      <c r="C33" s="598"/>
      <c r="D33" s="598"/>
      <c r="E33" s="598"/>
      <c r="F33" s="598"/>
      <c r="G33" s="598"/>
      <c r="H33" s="598"/>
      <c r="M33" s="600" t="s">
        <v>55</v>
      </c>
      <c r="N33" s="600"/>
      <c r="O33" s="600"/>
      <c r="S33" s="598" t="s">
        <v>23</v>
      </c>
      <c r="T33" s="598"/>
      <c r="U33" s="598"/>
      <c r="V33" s="598"/>
      <c r="W33" s="598"/>
      <c r="X33" s="598"/>
    </row>
    <row r="34" spans="2:24" s="88" customFormat="1" x14ac:dyDescent="0.25"/>
    <row r="35" spans="2:24" s="88" customFormat="1" x14ac:dyDescent="0.25"/>
  </sheetData>
  <mergeCells count="51">
    <mergeCell ref="H8:H10"/>
    <mergeCell ref="A1:L1"/>
    <mergeCell ref="M1:X1"/>
    <mergeCell ref="A2:L2"/>
    <mergeCell ref="M2:X2"/>
    <mergeCell ref="A5:X5"/>
    <mergeCell ref="A6:X6"/>
    <mergeCell ref="A8:A10"/>
    <mergeCell ref="B8:C10"/>
    <mergeCell ref="D8:E9"/>
    <mergeCell ref="F8:F10"/>
    <mergeCell ref="G8:G10"/>
    <mergeCell ref="I8:I10"/>
    <mergeCell ref="J8:L8"/>
    <mergeCell ref="M8:O8"/>
    <mergeCell ref="P8:R8"/>
    <mergeCell ref="V8:V10"/>
    <mergeCell ref="W8:W10"/>
    <mergeCell ref="X8:X10"/>
    <mergeCell ref="J9:J10"/>
    <mergeCell ref="K9:K10"/>
    <mergeCell ref="L9:L10"/>
    <mergeCell ref="M9:M10"/>
    <mergeCell ref="N9:N10"/>
    <mergeCell ref="O9:O10"/>
    <mergeCell ref="T8:T10"/>
    <mergeCell ref="S8:S10"/>
    <mergeCell ref="P9:P10"/>
    <mergeCell ref="Q9:Q10"/>
    <mergeCell ref="R9:R10"/>
    <mergeCell ref="U8:U10"/>
    <mergeCell ref="S26:X26"/>
    <mergeCell ref="B14:C14"/>
    <mergeCell ref="M17:N17"/>
    <mergeCell ref="O17:P17"/>
    <mergeCell ref="M18:N18"/>
    <mergeCell ref="O18:P18"/>
    <mergeCell ref="M19:N19"/>
    <mergeCell ref="O19:P19"/>
    <mergeCell ref="L20:N20"/>
    <mergeCell ref="O20:P20"/>
    <mergeCell ref="R20:T20"/>
    <mergeCell ref="M22:N22"/>
    <mergeCell ref="O22:P22"/>
    <mergeCell ref="S27:X27"/>
    <mergeCell ref="M28:O28"/>
    <mergeCell ref="M33:O33"/>
    <mergeCell ref="S33:X33"/>
    <mergeCell ref="B28:H28"/>
    <mergeCell ref="B33:H33"/>
    <mergeCell ref="S28:X28"/>
  </mergeCells>
  <pageMargins left="0" right="0" top="0" bottom="0" header="0.3" footer="0.3"/>
  <pageSetup scale="70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7:L20"/>
  <sheetViews>
    <sheetView workbookViewId="0">
      <selection activeCell="G20" sqref="G20"/>
    </sheetView>
  </sheetViews>
  <sheetFormatPr defaultRowHeight="15" x14ac:dyDescent="0.25"/>
  <cols>
    <col min="4" max="4" width="12.140625" bestFit="1" customWidth="1"/>
    <col min="5" max="5" width="14.85546875" bestFit="1" customWidth="1"/>
    <col min="6" max="6" width="14.85546875" customWidth="1"/>
    <col min="7" max="8" width="13.28515625" bestFit="1" customWidth="1"/>
    <col min="9" max="10" width="12.140625" bestFit="1" customWidth="1"/>
    <col min="11" max="11" width="14.28515625" bestFit="1" customWidth="1"/>
  </cols>
  <sheetData>
    <row r="7" spans="3:12" x14ac:dyDescent="0.25">
      <c r="E7" s="449">
        <v>1490000</v>
      </c>
      <c r="F7" s="504">
        <v>0.08</v>
      </c>
      <c r="G7" s="450">
        <v>1.4999999999999999E-2</v>
      </c>
      <c r="H7" s="450">
        <v>0.17499999999999999</v>
      </c>
      <c r="I7" s="450">
        <v>0.03</v>
      </c>
      <c r="J7" s="450">
        <v>0.02</v>
      </c>
      <c r="K7" s="449"/>
      <c r="L7" s="449"/>
    </row>
    <row r="8" spans="3:12" x14ac:dyDescent="0.25">
      <c r="C8" t="s">
        <v>330</v>
      </c>
      <c r="D8">
        <f>109.05</f>
        <v>109.05</v>
      </c>
      <c r="E8" s="449">
        <f>D8*$E$7</f>
        <v>162484500</v>
      </c>
      <c r="F8" s="449">
        <f>E8*F7</f>
        <v>12998760</v>
      </c>
      <c r="G8" s="449">
        <f>(E8*$G$7)</f>
        <v>2437267.5</v>
      </c>
      <c r="H8" s="449">
        <f>E8*$H$7</f>
        <v>28434787.5</v>
      </c>
      <c r="I8" s="449">
        <f>E8*$I$7</f>
        <v>4874535</v>
      </c>
      <c r="J8" s="449">
        <f>E8*$J$7</f>
        <v>3249690</v>
      </c>
      <c r="K8" s="449">
        <f>E8-F8-G8</f>
        <v>147048472.5</v>
      </c>
      <c r="L8" s="449"/>
    </row>
    <row r="9" spans="3:12" x14ac:dyDescent="0.25">
      <c r="C9" t="s">
        <v>331</v>
      </c>
      <c r="D9" s="257">
        <f>3</f>
        <v>3</v>
      </c>
      <c r="E9" s="449">
        <f>D9*E7*50%</f>
        <v>2235000</v>
      </c>
      <c r="F9" s="449"/>
      <c r="G9" s="449">
        <f>E9*1.5%</f>
        <v>33525</v>
      </c>
      <c r="H9" s="449">
        <f>E9*$H$7</f>
        <v>391125</v>
      </c>
      <c r="I9" s="449">
        <f>E9*$I$7</f>
        <v>67050</v>
      </c>
      <c r="J9" s="449">
        <f>E9*$J$7</f>
        <v>44700</v>
      </c>
      <c r="K9" s="449">
        <f t="shared" ref="K9:K14" si="0">E9-F9-G9</f>
        <v>2201475</v>
      </c>
      <c r="L9" s="449"/>
    </row>
    <row r="10" spans="3:12" x14ac:dyDescent="0.25">
      <c r="C10" t="s">
        <v>314</v>
      </c>
      <c r="D10">
        <v>6.5</v>
      </c>
      <c r="E10" s="449">
        <f t="shared" ref="E10:E13" si="1">D10*$E$7</f>
        <v>9685000</v>
      </c>
      <c r="F10" s="449">
        <f>E10*F7</f>
        <v>774800</v>
      </c>
      <c r="G10" s="449">
        <f>E10*$G$7</f>
        <v>145275</v>
      </c>
      <c r="H10" s="449">
        <f t="shared" ref="H10:H12" si="2">E10*$H$7</f>
        <v>1694875</v>
      </c>
      <c r="I10" s="449">
        <f t="shared" ref="I10:I12" si="3">E10*$I$7</f>
        <v>290550</v>
      </c>
      <c r="J10" s="449">
        <f t="shared" ref="J10:J12" si="4">E10*$J$7</f>
        <v>193700</v>
      </c>
      <c r="K10" s="449">
        <f t="shared" si="0"/>
        <v>8764925</v>
      </c>
      <c r="L10" s="449"/>
    </row>
    <row r="11" spans="3:12" x14ac:dyDescent="0.25">
      <c r="C11" t="s">
        <v>315</v>
      </c>
      <c r="D11">
        <v>2.89</v>
      </c>
      <c r="E11" s="449">
        <f t="shared" si="1"/>
        <v>4306100</v>
      </c>
      <c r="F11" s="452"/>
      <c r="G11" s="452"/>
      <c r="H11" s="452"/>
      <c r="I11" s="452"/>
      <c r="J11" s="452"/>
      <c r="K11" s="449">
        <f t="shared" si="0"/>
        <v>4306100</v>
      </c>
      <c r="L11" s="449"/>
    </row>
    <row r="12" spans="3:12" x14ac:dyDescent="0.25">
      <c r="C12" t="s">
        <v>316</v>
      </c>
      <c r="D12">
        <v>1.3325</v>
      </c>
      <c r="E12" s="449">
        <f t="shared" si="1"/>
        <v>1985425</v>
      </c>
      <c r="F12" s="449">
        <f>E12*F7</f>
        <v>158834</v>
      </c>
      <c r="G12" s="449">
        <f t="shared" ref="G12:G13" si="5">E12*$G$7</f>
        <v>29781.375</v>
      </c>
      <c r="H12" s="449">
        <f t="shared" si="2"/>
        <v>347449.375</v>
      </c>
      <c r="I12" s="449">
        <f t="shared" si="3"/>
        <v>59562.75</v>
      </c>
      <c r="J12" s="449">
        <f t="shared" si="4"/>
        <v>39708.5</v>
      </c>
      <c r="K12" s="449">
        <f t="shared" si="0"/>
        <v>1796809.625</v>
      </c>
      <c r="L12" s="449"/>
    </row>
    <row r="13" spans="3:12" x14ac:dyDescent="0.25">
      <c r="C13" t="s">
        <v>317</v>
      </c>
      <c r="D13">
        <v>1.3848</v>
      </c>
      <c r="E13" s="449">
        <f t="shared" si="1"/>
        <v>2063352</v>
      </c>
      <c r="F13" s="449">
        <f>E13*F7</f>
        <v>165068.16</v>
      </c>
      <c r="G13" s="449">
        <f t="shared" si="5"/>
        <v>30950.28</v>
      </c>
      <c r="H13" s="449">
        <f t="shared" ref="H13" si="6">E13*$H$7</f>
        <v>361086.6</v>
      </c>
      <c r="I13" s="449">
        <f t="shared" ref="I13" si="7">E13*$I$7</f>
        <v>61900.56</v>
      </c>
      <c r="J13" s="449">
        <f t="shared" ref="J13" si="8">E13*$J$7</f>
        <v>41267.040000000001</v>
      </c>
      <c r="K13" s="449">
        <f t="shared" si="0"/>
        <v>1867333.56</v>
      </c>
      <c r="L13" s="449"/>
    </row>
    <row r="14" spans="3:12" x14ac:dyDescent="0.25">
      <c r="C14" t="s">
        <v>318</v>
      </c>
      <c r="D14">
        <v>29.22063</v>
      </c>
      <c r="E14" s="449">
        <f>(D14*$E$7)</f>
        <v>43538738.700000003</v>
      </c>
      <c r="F14" s="452"/>
      <c r="G14" s="452"/>
      <c r="H14" s="452"/>
      <c r="I14" s="452"/>
      <c r="J14" s="452"/>
      <c r="K14" s="449">
        <f t="shared" si="0"/>
        <v>43538738.700000003</v>
      </c>
      <c r="L14" s="449"/>
    </row>
    <row r="15" spans="3:12" x14ac:dyDescent="0.25">
      <c r="E15" s="451">
        <f>SUM(E7:E14)</f>
        <v>227788115.69999999</v>
      </c>
      <c r="F15" s="451"/>
      <c r="G15" s="451">
        <f t="shared" ref="G15:K15" si="9">SUM(G7:G14)</f>
        <v>2676799.17</v>
      </c>
      <c r="H15" s="451">
        <f t="shared" si="9"/>
        <v>31229323.650000002</v>
      </c>
      <c r="I15" s="451">
        <f t="shared" si="9"/>
        <v>5353598.34</v>
      </c>
      <c r="J15" s="451">
        <f t="shared" si="9"/>
        <v>3569065.56</v>
      </c>
      <c r="K15" s="451">
        <f t="shared" si="9"/>
        <v>209523854.38499999</v>
      </c>
      <c r="L15" s="449"/>
    </row>
    <row r="16" spans="3:12" x14ac:dyDescent="0.25">
      <c r="E16" s="449"/>
      <c r="F16" s="449"/>
      <c r="G16" s="449"/>
      <c r="H16" s="449"/>
      <c r="I16" s="449"/>
      <c r="J16" s="449"/>
      <c r="K16" s="449"/>
      <c r="L16" s="449"/>
    </row>
    <row r="17" spans="5:12" x14ac:dyDescent="0.25">
      <c r="E17" s="449"/>
      <c r="F17" s="449"/>
      <c r="G17" s="449"/>
      <c r="H17" s="449"/>
      <c r="I17" s="449"/>
      <c r="J17" s="449"/>
      <c r="K17" s="449"/>
      <c r="L17" s="449"/>
    </row>
    <row r="18" spans="5:12" x14ac:dyDescent="0.25">
      <c r="E18" s="449"/>
      <c r="F18" s="449"/>
      <c r="G18" s="449">
        <f>E8*G7</f>
        <v>2437267.5</v>
      </c>
      <c r="H18" s="449"/>
      <c r="I18" s="449"/>
      <c r="J18" s="449"/>
      <c r="K18" s="449"/>
      <c r="L18" s="449"/>
    </row>
    <row r="19" spans="5:12" x14ac:dyDescent="0.25">
      <c r="E19" s="449"/>
      <c r="F19" s="449"/>
      <c r="G19" s="449">
        <f>G18-G8</f>
        <v>0</v>
      </c>
      <c r="H19" s="449"/>
      <c r="I19" s="449"/>
      <c r="J19" s="449"/>
      <c r="K19" s="449"/>
      <c r="L19" s="449"/>
    </row>
    <row r="20" spans="5:12" x14ac:dyDescent="0.25">
      <c r="G20" s="257">
        <f>G18-G19</f>
        <v>2437267.5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3"/>
  <sheetViews>
    <sheetView workbookViewId="0">
      <selection activeCell="I28" sqref="I28"/>
    </sheetView>
  </sheetViews>
  <sheetFormatPr defaultRowHeight="15" x14ac:dyDescent="0.25"/>
  <cols>
    <col min="1" max="1" width="5.140625" style="93" customWidth="1"/>
    <col min="2" max="2" width="21.7109375" style="93" customWidth="1"/>
    <col min="3" max="3" width="20.140625" style="93" hidden="1" customWidth="1"/>
    <col min="4" max="4" width="18.7109375" style="94" hidden="1" customWidth="1"/>
    <col min="5" max="5" width="14.42578125" style="93" customWidth="1"/>
    <col min="6" max="6" width="20" style="93" customWidth="1"/>
    <col min="7" max="7" width="13.28515625" style="95" customWidth="1"/>
    <col min="8" max="8" width="10.28515625" style="95" customWidth="1"/>
    <col min="9" max="9" width="12.42578125" style="95" customWidth="1"/>
    <col min="10" max="10" width="5.7109375" style="95" customWidth="1"/>
    <col min="11" max="11" width="5.42578125" style="93" customWidth="1"/>
    <col min="12" max="12" width="8.7109375" style="93" customWidth="1"/>
    <col min="13" max="13" width="12.140625" style="93" customWidth="1"/>
    <col min="14" max="14" width="5.5703125" style="93" customWidth="1"/>
    <col min="15" max="15" width="12.7109375" style="93" customWidth="1"/>
    <col min="16" max="16" width="13.42578125" style="93" customWidth="1"/>
    <col min="17" max="17" width="14.5703125" style="93" customWidth="1"/>
    <col min="18" max="18" width="14" style="95" customWidth="1"/>
    <col min="19" max="19" width="14.5703125" style="93" bestFit="1" customWidth="1"/>
    <col min="20" max="20" width="14.7109375" style="95" bestFit="1" customWidth="1"/>
    <col min="21" max="21" width="12.5703125" style="95" bestFit="1" customWidth="1"/>
    <col min="22" max="22" width="8" style="95" bestFit="1" customWidth="1"/>
    <col min="23" max="23" width="10.5703125" style="95" bestFit="1" customWidth="1"/>
    <col min="24" max="16384" width="9.140625" style="93"/>
  </cols>
  <sheetData>
    <row r="1" spans="1:23" ht="16.5" customHeight="1" x14ac:dyDescent="0.25">
      <c r="L1" s="773" t="s">
        <v>204</v>
      </c>
      <c r="M1" s="773"/>
      <c r="N1" s="773"/>
      <c r="O1" s="773"/>
    </row>
    <row r="2" spans="1:23" x14ac:dyDescent="0.25">
      <c r="L2" s="774" t="s">
        <v>205</v>
      </c>
      <c r="M2" s="774"/>
      <c r="N2" s="774"/>
      <c r="O2" s="774"/>
    </row>
    <row r="3" spans="1:23" x14ac:dyDescent="0.25">
      <c r="L3" s="774" t="s">
        <v>206</v>
      </c>
      <c r="M3" s="774"/>
      <c r="N3" s="774"/>
      <c r="O3" s="774"/>
    </row>
    <row r="4" spans="1:23" s="124" customFormat="1" ht="21" customHeight="1" x14ac:dyDescent="0.25">
      <c r="A4" s="775" t="s">
        <v>207</v>
      </c>
      <c r="B4" s="775"/>
      <c r="C4" s="775"/>
      <c r="D4" s="775"/>
      <c r="E4" s="775"/>
      <c r="F4" s="775"/>
      <c r="G4" s="775"/>
      <c r="H4" s="775"/>
      <c r="I4" s="775"/>
      <c r="J4" s="775"/>
      <c r="K4" s="775"/>
      <c r="L4" s="775"/>
      <c r="M4" s="775"/>
      <c r="N4" s="775"/>
      <c r="O4" s="775"/>
      <c r="R4" s="125"/>
      <c r="T4" s="125"/>
      <c r="U4" s="125"/>
      <c r="V4" s="125"/>
      <c r="W4" s="125"/>
    </row>
    <row r="5" spans="1:23" s="124" customFormat="1" ht="15.75" x14ac:dyDescent="0.25">
      <c r="A5" s="776" t="s">
        <v>339</v>
      </c>
      <c r="B5" s="776"/>
      <c r="C5" s="776"/>
      <c r="D5" s="776"/>
      <c r="E5" s="776"/>
      <c r="F5" s="776"/>
      <c r="G5" s="776"/>
      <c r="H5" s="776"/>
      <c r="I5" s="776"/>
      <c r="J5" s="776"/>
      <c r="K5" s="776"/>
      <c r="L5" s="776"/>
      <c r="M5" s="776"/>
      <c r="N5" s="776"/>
      <c r="O5" s="776"/>
      <c r="R5" s="125"/>
      <c r="T5" s="125"/>
      <c r="U5" s="125"/>
      <c r="V5" s="125"/>
      <c r="W5" s="125"/>
    </row>
    <row r="6" spans="1:23" x14ac:dyDescent="0.25">
      <c r="F6" s="126" t="s">
        <v>208</v>
      </c>
      <c r="G6" s="93"/>
      <c r="H6" s="126" t="s">
        <v>209</v>
      </c>
    </row>
    <row r="7" spans="1:23" s="124" customFormat="1" ht="15.75" x14ac:dyDescent="0.25">
      <c r="A7" s="127" t="s">
        <v>210</v>
      </c>
      <c r="D7" s="128"/>
      <c r="G7" s="125"/>
      <c r="H7" s="125"/>
      <c r="I7" s="125"/>
      <c r="J7" s="125"/>
      <c r="R7" s="125"/>
      <c r="T7" s="125"/>
      <c r="U7" s="125"/>
      <c r="V7" s="125"/>
      <c r="W7" s="125"/>
    </row>
    <row r="8" spans="1:23" s="124" customFormat="1" ht="15.75" x14ac:dyDescent="0.25">
      <c r="A8" s="127" t="s">
        <v>211</v>
      </c>
      <c r="D8" s="128"/>
      <c r="G8" s="125"/>
      <c r="H8" s="125"/>
      <c r="I8" s="772"/>
      <c r="J8" s="772"/>
      <c r="K8" s="772"/>
      <c r="L8" s="129"/>
      <c r="M8" s="129"/>
      <c r="R8" s="125"/>
      <c r="T8" s="125"/>
      <c r="U8" s="125"/>
      <c r="V8" s="125"/>
      <c r="W8" s="125"/>
    </row>
    <row r="9" spans="1:23" s="124" customFormat="1" ht="15.75" x14ac:dyDescent="0.25">
      <c r="A9" s="130" t="s">
        <v>283</v>
      </c>
      <c r="D9" s="128"/>
      <c r="G9" s="125"/>
      <c r="H9" s="125"/>
      <c r="I9" s="129"/>
      <c r="J9" s="129"/>
      <c r="K9" s="129"/>
      <c r="L9" s="129"/>
      <c r="M9" s="129"/>
      <c r="R9" s="125"/>
      <c r="T9" s="125"/>
      <c r="U9" s="125"/>
      <c r="V9" s="125"/>
      <c r="W9" s="125"/>
    </row>
    <row r="10" spans="1:23" s="124" customFormat="1" ht="9.75" customHeight="1" x14ac:dyDescent="0.25">
      <c r="A10" s="130"/>
      <c r="D10" s="128"/>
      <c r="G10" s="125"/>
      <c r="H10" s="125"/>
      <c r="I10" s="129"/>
      <c r="J10" s="129"/>
      <c r="K10" s="129"/>
      <c r="L10" s="129"/>
      <c r="M10" s="129"/>
      <c r="R10" s="125"/>
      <c r="T10" s="125"/>
      <c r="U10" s="125"/>
      <c r="V10" s="125"/>
      <c r="W10" s="125"/>
    </row>
    <row r="11" spans="1:23" s="124" customFormat="1" ht="15.75" x14ac:dyDescent="0.25">
      <c r="A11" s="131" t="s">
        <v>340</v>
      </c>
      <c r="D11" s="128"/>
      <c r="G11" s="125"/>
      <c r="H11" s="125"/>
      <c r="I11" s="125"/>
      <c r="J11" s="125"/>
      <c r="R11" s="125"/>
      <c r="T11" s="125"/>
      <c r="U11" s="125"/>
      <c r="V11" s="125"/>
      <c r="W11" s="125"/>
    </row>
    <row r="12" spans="1:23" x14ac:dyDescent="0.25">
      <c r="A12" s="96"/>
      <c r="B12" s="96"/>
      <c r="C12" s="96"/>
      <c r="D12" s="97"/>
      <c r="E12" s="96"/>
      <c r="F12" s="96"/>
      <c r="G12" s="98"/>
      <c r="H12" s="98"/>
      <c r="I12" s="98"/>
      <c r="K12" s="132"/>
      <c r="N12" s="767"/>
      <c r="O12" s="767"/>
    </row>
    <row r="13" spans="1:23" s="100" customFormat="1" ht="14.25" customHeight="1" x14ac:dyDescent="0.2">
      <c r="A13" s="768" t="s">
        <v>6</v>
      </c>
      <c r="B13" s="768" t="s">
        <v>7</v>
      </c>
      <c r="C13" s="510"/>
      <c r="D13" s="133"/>
      <c r="E13" s="769" t="s">
        <v>161</v>
      </c>
      <c r="F13" s="769"/>
      <c r="G13" s="770" t="s">
        <v>162</v>
      </c>
      <c r="H13" s="771" t="s">
        <v>212</v>
      </c>
      <c r="I13" s="771"/>
      <c r="J13" s="771"/>
      <c r="K13" s="771"/>
      <c r="L13" s="771"/>
      <c r="M13" s="771"/>
      <c r="N13" s="771"/>
      <c r="O13" s="768" t="s">
        <v>116</v>
      </c>
      <c r="R13" s="134"/>
      <c r="T13" s="134"/>
      <c r="U13" s="134"/>
      <c r="V13" s="134"/>
      <c r="W13" s="134"/>
    </row>
    <row r="14" spans="1:23" s="100" customFormat="1" ht="92.25" customHeight="1" x14ac:dyDescent="0.2">
      <c r="A14" s="768"/>
      <c r="B14" s="768"/>
      <c r="C14" s="514" t="s">
        <v>90</v>
      </c>
      <c r="D14" s="514" t="s">
        <v>163</v>
      </c>
      <c r="E14" s="514" t="s">
        <v>164</v>
      </c>
      <c r="F14" s="514" t="s">
        <v>165</v>
      </c>
      <c r="G14" s="770"/>
      <c r="H14" s="135" t="s">
        <v>213</v>
      </c>
      <c r="I14" s="307" t="s">
        <v>214</v>
      </c>
      <c r="J14" s="135" t="s">
        <v>215</v>
      </c>
      <c r="K14" s="136" t="s">
        <v>216</v>
      </c>
      <c r="L14" s="136" t="s">
        <v>295</v>
      </c>
      <c r="M14" s="422" t="s">
        <v>304</v>
      </c>
      <c r="N14" s="136" t="s">
        <v>217</v>
      </c>
      <c r="O14" s="768"/>
      <c r="P14" s="100" t="s">
        <v>225</v>
      </c>
      <c r="Q14" s="100" t="s">
        <v>226</v>
      </c>
      <c r="R14" s="134"/>
      <c r="T14" s="134"/>
      <c r="U14" s="134"/>
      <c r="V14" s="134"/>
      <c r="W14" s="134"/>
    </row>
    <row r="15" spans="1:23" s="102" customFormat="1" ht="20.100000000000001" customHeight="1" x14ac:dyDescent="0.25">
      <c r="A15" s="99">
        <v>1</v>
      </c>
      <c r="B15" s="99">
        <v>2</v>
      </c>
      <c r="C15" s="99" t="s">
        <v>103</v>
      </c>
      <c r="D15" s="99" t="s">
        <v>104</v>
      </c>
      <c r="E15" s="99">
        <v>3</v>
      </c>
      <c r="F15" s="99"/>
      <c r="G15" s="508">
        <v>4</v>
      </c>
      <c r="H15" s="509">
        <v>5</v>
      </c>
      <c r="I15" s="509">
        <v>6</v>
      </c>
      <c r="J15" s="137">
        <v>7</v>
      </c>
      <c r="K15" s="99">
        <v>8</v>
      </c>
      <c r="L15" s="101">
        <v>9</v>
      </c>
      <c r="M15" s="512">
        <v>10</v>
      </c>
      <c r="N15" s="101">
        <v>11</v>
      </c>
      <c r="O15" s="101">
        <v>12</v>
      </c>
      <c r="P15" s="102">
        <v>258169165.94499999</v>
      </c>
      <c r="Q15" s="170" t="e">
        <f>G16-P15</f>
        <v>#REF!</v>
      </c>
      <c r="R15" s="138"/>
      <c r="T15" s="138"/>
      <c r="U15" s="138"/>
      <c r="V15" s="138"/>
      <c r="W15" s="138"/>
    </row>
    <row r="16" spans="1:23" s="102" customFormat="1" ht="27" customHeight="1" x14ac:dyDescent="0.25">
      <c r="A16" s="99"/>
      <c r="B16" s="99" t="s">
        <v>162</v>
      </c>
      <c r="C16" s="99"/>
      <c r="D16" s="99"/>
      <c r="E16" s="99"/>
      <c r="F16" s="99"/>
      <c r="G16" s="139" t="e">
        <f>G17+G39</f>
        <v>#REF!</v>
      </c>
      <c r="H16" s="139" t="e">
        <f>H17+H39+H42</f>
        <v>#REF!</v>
      </c>
      <c r="I16" s="139">
        <f>I17+I42+I39</f>
        <v>0</v>
      </c>
      <c r="J16" s="139">
        <f>J17+J42</f>
        <v>0</v>
      </c>
      <c r="K16" s="139">
        <f>K17+K42</f>
        <v>0</v>
      </c>
      <c r="L16" s="139">
        <f>L17+L42</f>
        <v>0</v>
      </c>
      <c r="M16" s="281">
        <f>M17+M42+M39</f>
        <v>3100000</v>
      </c>
      <c r="N16" s="103"/>
      <c r="O16" s="103"/>
      <c r="P16" s="218" t="e">
        <f>#REF!</f>
        <v>#REF!</v>
      </c>
      <c r="Q16" s="218" t="e">
        <f>#REF!</f>
        <v>#REF!</v>
      </c>
      <c r="R16" s="138" t="e">
        <f>P16+Q16+P15</f>
        <v>#REF!</v>
      </c>
      <c r="T16" s="138"/>
      <c r="U16" s="138"/>
      <c r="V16" s="138"/>
      <c r="W16" s="138"/>
    </row>
    <row r="17" spans="1:23" s="102" customFormat="1" ht="19.5" customHeight="1" x14ac:dyDescent="0.25">
      <c r="A17" s="99" t="s">
        <v>166</v>
      </c>
      <c r="B17" s="104" t="s">
        <v>167</v>
      </c>
      <c r="C17" s="99"/>
      <c r="D17" s="99"/>
      <c r="E17" s="99"/>
      <c r="F17" s="99"/>
      <c r="G17" s="511" t="e">
        <f>SUM(G18:G32)</f>
        <v>#REF!</v>
      </c>
      <c r="H17" s="511" t="e">
        <f>SUM(H18:H38)</f>
        <v>#REF!</v>
      </c>
      <c r="I17" s="511">
        <f>SUM(I19:I32)</f>
        <v>0</v>
      </c>
      <c r="J17" s="511">
        <f>SUM(J18:J41)</f>
        <v>0</v>
      </c>
      <c r="K17" s="511">
        <f>SUM(K18:K41)</f>
        <v>0</v>
      </c>
      <c r="L17" s="282"/>
      <c r="M17" s="282">
        <f>SUM(M18:M32)</f>
        <v>2800000</v>
      </c>
      <c r="N17" s="103"/>
      <c r="O17" s="468"/>
      <c r="P17" s="217" t="e">
        <f>SUM(P18:P42)</f>
        <v>#REF!</v>
      </c>
      <c r="Q17" s="217" t="e">
        <f>SUM(Q18:Q42)</f>
        <v>#REF!</v>
      </c>
      <c r="R17" s="138"/>
      <c r="T17" s="138"/>
      <c r="U17" s="138"/>
      <c r="V17" s="138"/>
      <c r="W17" s="138"/>
    </row>
    <row r="18" spans="1:23" ht="19.5" hidden="1" customHeight="1" x14ac:dyDescent="0.25">
      <c r="A18" s="105">
        <f>IF(B18&lt;&gt;"",COUNTA($B$18:B18),"")</f>
        <v>1</v>
      </c>
      <c r="B18" s="106" t="s">
        <v>19</v>
      </c>
      <c r="C18" s="105" t="s">
        <v>20</v>
      </c>
      <c r="D18" s="107">
        <v>290052641</v>
      </c>
      <c r="E18" s="284">
        <v>5700215006419</v>
      </c>
      <c r="F18" s="143" t="s">
        <v>168</v>
      </c>
      <c r="G18" s="108" t="e">
        <f t="shared" ref="G18:G32" si="0">SUM(H18:N18)</f>
        <v>#REF!</v>
      </c>
      <c r="H18" s="140" t="e">
        <f>SUMIF(#REF!,'DS SV CT'!#REF!,#REF!)</f>
        <v>#REF!</v>
      </c>
      <c r="I18" s="140"/>
      <c r="J18" s="140"/>
      <c r="K18" s="105"/>
      <c r="L18" s="283"/>
      <c r="M18" s="283"/>
      <c r="N18" s="106"/>
      <c r="O18" s="469"/>
      <c r="P18" s="216" t="e">
        <f>SUMIF(#REF!,'DS SV CT'!#REF!,#REF!)</f>
        <v>#REF!</v>
      </c>
      <c r="Q18" s="216" t="e">
        <f>SUMIF(#REF!,'DS SV CT'!#REF!,#REF!)</f>
        <v>#REF!</v>
      </c>
      <c r="R18" s="95" t="e">
        <f>H16+#REF!</f>
        <v>#REF!</v>
      </c>
    </row>
    <row r="19" spans="1:23" ht="27" customHeight="1" x14ac:dyDescent="0.25">
      <c r="A19" s="105">
        <v>1</v>
      </c>
      <c r="B19" s="106" t="s">
        <v>23</v>
      </c>
      <c r="C19" s="105" t="s">
        <v>24</v>
      </c>
      <c r="D19" s="109" t="s">
        <v>169</v>
      </c>
      <c r="E19" s="284">
        <v>5700205047714</v>
      </c>
      <c r="F19" s="143" t="s">
        <v>168</v>
      </c>
      <c r="G19" s="108">
        <f t="shared" si="0"/>
        <v>200000</v>
      </c>
      <c r="H19" s="455"/>
      <c r="I19" s="140"/>
      <c r="J19" s="140"/>
      <c r="K19" s="105"/>
      <c r="L19" s="283"/>
      <c r="M19" s="283">
        <v>200000</v>
      </c>
      <c r="N19" s="106"/>
      <c r="O19" s="470" t="s">
        <v>321</v>
      </c>
      <c r="P19" s="216" t="e">
        <f>SUMIF(#REF!,'DS SV CT'!#REF!,#REF!)</f>
        <v>#REF!</v>
      </c>
      <c r="Q19" s="216" t="e">
        <f>SUMIF(#REF!,'DS SV CT'!#REF!,#REF!)</f>
        <v>#REF!</v>
      </c>
      <c r="R19" s="95" t="e">
        <f>H16+I16+#REF!</f>
        <v>#REF!</v>
      </c>
      <c r="S19" s="93">
        <v>13216896</v>
      </c>
      <c r="T19" s="95">
        <f>H19-S19</f>
        <v>-13216896</v>
      </c>
    </row>
    <row r="20" spans="1:23" ht="19.5" customHeight="1" x14ac:dyDescent="0.25">
      <c r="A20" s="105">
        <v>2</v>
      </c>
      <c r="B20" s="106" t="s">
        <v>26</v>
      </c>
      <c r="C20" s="105" t="s">
        <v>24</v>
      </c>
      <c r="D20" s="107">
        <v>290422597</v>
      </c>
      <c r="E20" s="284">
        <v>5700215015540</v>
      </c>
      <c r="F20" s="143" t="s">
        <v>168</v>
      </c>
      <c r="G20" s="108">
        <f t="shared" si="0"/>
        <v>200000</v>
      </c>
      <c r="H20" s="140"/>
      <c r="I20" s="140"/>
      <c r="J20" s="140"/>
      <c r="K20" s="105"/>
      <c r="L20" s="283"/>
      <c r="M20" s="283">
        <v>200000</v>
      </c>
      <c r="N20" s="106"/>
      <c r="O20" s="469"/>
      <c r="P20" s="216" t="e">
        <f>SUMIF(#REF!,'DS SV CT'!#REF!,#REF!)</f>
        <v>#REF!</v>
      </c>
      <c r="Q20" s="216" t="e">
        <f>SUMIF(#REF!,'DS SV CT'!#REF!,#REF!)</f>
        <v>#REF!</v>
      </c>
    </row>
    <row r="21" spans="1:23" ht="19.5" customHeight="1" x14ac:dyDescent="0.25">
      <c r="A21" s="105">
        <v>3</v>
      </c>
      <c r="B21" s="106" t="s">
        <v>27</v>
      </c>
      <c r="C21" s="105" t="s">
        <v>24</v>
      </c>
      <c r="D21" s="107">
        <v>290422597</v>
      </c>
      <c r="E21" s="284">
        <v>5700205728799</v>
      </c>
      <c r="F21" s="143" t="s">
        <v>168</v>
      </c>
      <c r="G21" s="108">
        <f t="shared" si="0"/>
        <v>200000</v>
      </c>
      <c r="H21" s="140"/>
      <c r="I21" s="141"/>
      <c r="J21" s="141"/>
      <c r="K21" s="105"/>
      <c r="L21" s="283"/>
      <c r="M21" s="283">
        <v>200000</v>
      </c>
      <c r="N21" s="106"/>
      <c r="O21" s="469"/>
      <c r="P21" s="216" t="e">
        <f>SUMIF(#REF!,'DS SV CT'!#REF!,#REF!)</f>
        <v>#REF!</v>
      </c>
      <c r="Q21" s="216" t="e">
        <f>SUMIF(#REF!,'DS SV CT'!#REF!,#REF!)</f>
        <v>#REF!</v>
      </c>
    </row>
    <row r="22" spans="1:23" ht="19.5" customHeight="1" x14ac:dyDescent="0.25">
      <c r="A22" s="105">
        <v>4</v>
      </c>
      <c r="B22" s="106" t="s">
        <v>301</v>
      </c>
      <c r="C22" s="105"/>
      <c r="D22" s="107"/>
      <c r="E22" s="318" t="s">
        <v>302</v>
      </c>
      <c r="F22" s="143" t="s">
        <v>303</v>
      </c>
      <c r="G22" s="108">
        <f t="shared" si="0"/>
        <v>200000</v>
      </c>
      <c r="H22" s="140"/>
      <c r="I22" s="141"/>
      <c r="J22" s="141"/>
      <c r="K22" s="105"/>
      <c r="L22" s="283"/>
      <c r="M22" s="283">
        <v>200000</v>
      </c>
      <c r="N22" s="106"/>
      <c r="O22" s="469" t="s">
        <v>320</v>
      </c>
      <c r="P22" s="216"/>
      <c r="Q22" s="216"/>
    </row>
    <row r="23" spans="1:23" ht="19.5" customHeight="1" x14ac:dyDescent="0.25">
      <c r="A23" s="105">
        <v>5</v>
      </c>
      <c r="B23" s="106" t="s">
        <v>28</v>
      </c>
      <c r="C23" s="105" t="s">
        <v>170</v>
      </c>
      <c r="D23" s="107">
        <v>290361913</v>
      </c>
      <c r="E23" s="284">
        <v>5700205029679</v>
      </c>
      <c r="F23" s="143" t="s">
        <v>168</v>
      </c>
      <c r="G23" s="108">
        <f t="shared" si="0"/>
        <v>200000</v>
      </c>
      <c r="H23" s="140"/>
      <c r="I23" s="140"/>
      <c r="J23" s="140"/>
      <c r="K23" s="105"/>
      <c r="L23" s="283"/>
      <c r="M23" s="283">
        <v>200000</v>
      </c>
      <c r="N23" s="106"/>
      <c r="O23" s="469"/>
      <c r="P23" s="216" t="e">
        <f>SUMIF(#REF!,'DS SV CT'!#REF!,#REF!)</f>
        <v>#REF!</v>
      </c>
      <c r="Q23" s="216" t="e">
        <f>SUMIF(#REF!,'DS SV CT'!#REF!,#REF!)</f>
        <v>#REF!</v>
      </c>
      <c r="R23" s="95" t="e">
        <f>H16+I16</f>
        <v>#REF!</v>
      </c>
    </row>
    <row r="24" spans="1:23" ht="19.5" customHeight="1" x14ac:dyDescent="0.25">
      <c r="A24" s="105">
        <v>6</v>
      </c>
      <c r="B24" s="106" t="s">
        <v>31</v>
      </c>
      <c r="C24" s="105" t="s">
        <v>171</v>
      </c>
      <c r="D24" s="107">
        <v>290372799</v>
      </c>
      <c r="E24" s="284">
        <v>5700205047772</v>
      </c>
      <c r="F24" s="143" t="s">
        <v>168</v>
      </c>
      <c r="G24" s="108">
        <f t="shared" si="0"/>
        <v>200000</v>
      </c>
      <c r="H24" s="140"/>
      <c r="I24" s="140"/>
      <c r="J24" s="140"/>
      <c r="K24" s="105"/>
      <c r="L24" s="283"/>
      <c r="M24" s="283">
        <v>200000</v>
      </c>
      <c r="N24" s="106"/>
      <c r="O24" s="469"/>
      <c r="P24" s="216" t="e">
        <f>SUMIF(#REF!,'DS SV CT'!#REF!,#REF!)</f>
        <v>#REF!</v>
      </c>
      <c r="Q24" s="216" t="e">
        <f>SUMIF(#REF!,'DS SV CT'!#REF!,#REF!)</f>
        <v>#REF!</v>
      </c>
      <c r="R24" s="95" t="e">
        <f>R23-G16</f>
        <v>#REF!</v>
      </c>
    </row>
    <row r="25" spans="1:23" s="317" customFormat="1" ht="19.5" customHeight="1" x14ac:dyDescent="0.25">
      <c r="A25" s="105">
        <v>7</v>
      </c>
      <c r="B25" s="106" t="s">
        <v>37</v>
      </c>
      <c r="C25" s="105" t="s">
        <v>38</v>
      </c>
      <c r="D25" s="107">
        <v>290643487</v>
      </c>
      <c r="E25" s="284">
        <v>5700205047822</v>
      </c>
      <c r="F25" s="143" t="s">
        <v>168</v>
      </c>
      <c r="G25" s="108">
        <f t="shared" si="0"/>
        <v>200000</v>
      </c>
      <c r="H25" s="140"/>
      <c r="I25" s="140"/>
      <c r="J25" s="140"/>
      <c r="K25" s="105"/>
      <c r="L25" s="283"/>
      <c r="M25" s="283">
        <v>200000</v>
      </c>
      <c r="N25" s="314"/>
      <c r="O25" s="469" t="s">
        <v>319</v>
      </c>
      <c r="P25" s="315" t="e">
        <f>SUMIF(#REF!,'DS SV CT'!#REF!,#REF!)</f>
        <v>#REF!</v>
      </c>
      <c r="Q25" s="315" t="e">
        <f>SUMIF(#REF!,'DS SV CT'!#REF!,#REF!)</f>
        <v>#REF!</v>
      </c>
      <c r="R25" s="316"/>
      <c r="S25" s="317">
        <v>12548580</v>
      </c>
      <c r="T25" s="316">
        <f>H25-S25</f>
        <v>-12548580</v>
      </c>
      <c r="U25" s="316"/>
      <c r="V25" s="316"/>
      <c r="W25" s="316"/>
    </row>
    <row r="26" spans="1:23" s="317" customFormat="1" ht="19.5" customHeight="1" x14ac:dyDescent="0.25">
      <c r="A26" s="105">
        <v>8</v>
      </c>
      <c r="B26" s="106" t="s">
        <v>47</v>
      </c>
      <c r="C26" s="105" t="s">
        <v>172</v>
      </c>
      <c r="D26" s="110" t="s">
        <v>173</v>
      </c>
      <c r="E26" s="318">
        <v>5700205732688</v>
      </c>
      <c r="F26" s="143" t="s">
        <v>168</v>
      </c>
      <c r="G26" s="108">
        <f t="shared" si="0"/>
        <v>200000</v>
      </c>
      <c r="H26" s="140"/>
      <c r="I26" s="140"/>
      <c r="J26" s="140"/>
      <c r="K26" s="105"/>
      <c r="L26" s="283"/>
      <c r="M26" s="283">
        <v>200000</v>
      </c>
      <c r="N26" s="314"/>
      <c r="O26" s="469"/>
      <c r="P26" s="315" t="e">
        <f>SUMIF(#REF!,'DS SV CT'!#REF!,#REF!)</f>
        <v>#REF!</v>
      </c>
      <c r="Q26" s="315" t="e">
        <f>SUMIF(#REF!,'DS SV CT'!#REF!,#REF!)</f>
        <v>#REF!</v>
      </c>
      <c r="R26" s="316"/>
      <c r="T26" s="316"/>
      <c r="U26" s="316"/>
      <c r="V26" s="316"/>
      <c r="W26" s="316"/>
    </row>
    <row r="27" spans="1:23" ht="19.5" customHeight="1" x14ac:dyDescent="0.25">
      <c r="A27" s="105">
        <v>9</v>
      </c>
      <c r="B27" s="106" t="s">
        <v>48</v>
      </c>
      <c r="C27" s="105" t="s">
        <v>174</v>
      </c>
      <c r="D27" s="107">
        <v>290471809</v>
      </c>
      <c r="E27" s="284">
        <v>5700205047918</v>
      </c>
      <c r="F27" s="143" t="s">
        <v>168</v>
      </c>
      <c r="G27" s="108">
        <f t="shared" si="0"/>
        <v>200000</v>
      </c>
      <c r="H27" s="140"/>
      <c r="I27" s="140"/>
      <c r="J27" s="140"/>
      <c r="K27" s="105"/>
      <c r="L27" s="283"/>
      <c r="M27" s="283">
        <v>200000</v>
      </c>
      <c r="N27" s="106"/>
      <c r="O27" s="469"/>
      <c r="P27" s="216" t="e">
        <f>SUMIF(#REF!,'DS SV CT'!#REF!,#REF!)</f>
        <v>#REF!</v>
      </c>
      <c r="Q27" s="216" t="e">
        <f>SUMIF(#REF!,'DS SV CT'!#REF!,#REF!)</f>
        <v>#REF!</v>
      </c>
    </row>
    <row r="28" spans="1:23" ht="19.5" customHeight="1" x14ac:dyDescent="0.25">
      <c r="A28" s="105">
        <v>10</v>
      </c>
      <c r="B28" s="142" t="s">
        <v>52</v>
      </c>
      <c r="C28" s="105" t="s">
        <v>46</v>
      </c>
      <c r="D28" s="107">
        <v>291167586</v>
      </c>
      <c r="E28" s="284">
        <v>5700215008262</v>
      </c>
      <c r="F28" s="143" t="s">
        <v>168</v>
      </c>
      <c r="G28" s="108">
        <f t="shared" si="0"/>
        <v>200000</v>
      </c>
      <c r="H28" s="140"/>
      <c r="I28" s="140"/>
      <c r="J28" s="140"/>
      <c r="K28" s="105"/>
      <c r="L28" s="283"/>
      <c r="M28" s="283">
        <v>200000</v>
      </c>
      <c r="N28" s="106"/>
      <c r="O28" s="469" t="s">
        <v>320</v>
      </c>
      <c r="P28" s="216"/>
      <c r="Q28" s="216" t="e">
        <f>SUMIF(#REF!,'DS SV CT'!#REF!,#REF!)</f>
        <v>#REF!</v>
      </c>
    </row>
    <row r="29" spans="1:23" ht="19.5" customHeight="1" x14ac:dyDescent="0.25">
      <c r="A29" s="105">
        <v>11</v>
      </c>
      <c r="B29" s="142" t="s">
        <v>55</v>
      </c>
      <c r="C29" s="105" t="s">
        <v>46</v>
      </c>
      <c r="D29" s="107">
        <v>290772967</v>
      </c>
      <c r="E29" s="284">
        <v>5700205043010</v>
      </c>
      <c r="F29" s="143" t="s">
        <v>168</v>
      </c>
      <c r="G29" s="108">
        <f t="shared" si="0"/>
        <v>200000</v>
      </c>
      <c r="H29" s="140"/>
      <c r="I29" s="140"/>
      <c r="J29" s="140"/>
      <c r="K29" s="105"/>
      <c r="L29" s="283"/>
      <c r="M29" s="283">
        <v>200000</v>
      </c>
      <c r="N29" s="106"/>
      <c r="O29" s="469"/>
      <c r="P29" s="216" t="e">
        <f>SUMIF(#REF!,'DS SV CT'!#REF!,#REF!)</f>
        <v>#REF!</v>
      </c>
      <c r="Q29" s="216" t="e">
        <f>SUMIF(#REF!,'DS SV CT'!#REF!,#REF!)</f>
        <v>#REF!</v>
      </c>
    </row>
    <row r="30" spans="1:23" ht="19.5" customHeight="1" x14ac:dyDescent="0.25">
      <c r="A30" s="105">
        <v>12</v>
      </c>
      <c r="B30" s="106" t="s">
        <v>57</v>
      </c>
      <c r="C30" s="105" t="s">
        <v>176</v>
      </c>
      <c r="D30" s="110" t="s">
        <v>177</v>
      </c>
      <c r="E30" s="284">
        <v>5700205047816</v>
      </c>
      <c r="F30" s="143" t="s">
        <v>168</v>
      </c>
      <c r="G30" s="108">
        <f t="shared" si="0"/>
        <v>200000</v>
      </c>
      <c r="H30" s="140"/>
      <c r="I30" s="140"/>
      <c r="J30" s="140"/>
      <c r="K30" s="105"/>
      <c r="L30" s="283"/>
      <c r="M30" s="283">
        <v>200000</v>
      </c>
      <c r="N30" s="106"/>
      <c r="O30" s="469"/>
      <c r="P30" s="216" t="e">
        <f>SUMIF(#REF!,'DS SV CT'!#REF!,#REF!)</f>
        <v>#REF!</v>
      </c>
      <c r="Q30" s="216" t="e">
        <f>SUMIF(#REF!,'DS SV CT'!#REF!,#REF!)</f>
        <v>#REF!</v>
      </c>
    </row>
    <row r="31" spans="1:23" ht="19.5" customHeight="1" x14ac:dyDescent="0.25">
      <c r="A31" s="105">
        <v>13</v>
      </c>
      <c r="B31" s="106" t="s">
        <v>60</v>
      </c>
      <c r="C31" s="105" t="s">
        <v>178</v>
      </c>
      <c r="D31" s="110" t="s">
        <v>179</v>
      </c>
      <c r="E31" s="284">
        <v>5700215015688</v>
      </c>
      <c r="F31" s="143" t="s">
        <v>168</v>
      </c>
      <c r="G31" s="108">
        <f t="shared" si="0"/>
        <v>200000</v>
      </c>
      <c r="H31" s="140"/>
      <c r="I31" s="140"/>
      <c r="J31" s="140"/>
      <c r="K31" s="105"/>
      <c r="L31" s="283"/>
      <c r="M31" s="283">
        <v>200000</v>
      </c>
      <c r="N31" s="106"/>
      <c r="O31" s="469"/>
      <c r="P31" s="216" t="e">
        <f>SUMIF(#REF!,'DS SV CT'!#REF!,#REF!)</f>
        <v>#REF!</v>
      </c>
      <c r="Q31" s="216" t="e">
        <f>SUMIF(#REF!,'DS SV CT'!#REF!,#REF!)</f>
        <v>#REF!</v>
      </c>
    </row>
    <row r="32" spans="1:23" ht="19.5" customHeight="1" x14ac:dyDescent="0.25">
      <c r="A32" s="105">
        <v>14</v>
      </c>
      <c r="B32" s="106" t="s">
        <v>64</v>
      </c>
      <c r="C32" s="105" t="s">
        <v>180</v>
      </c>
      <c r="D32" s="107">
        <v>290395491</v>
      </c>
      <c r="E32" s="284">
        <v>5700205101719</v>
      </c>
      <c r="F32" s="143" t="s">
        <v>168</v>
      </c>
      <c r="G32" s="108">
        <f t="shared" si="0"/>
        <v>200000</v>
      </c>
      <c r="H32" s="140"/>
      <c r="I32" s="140"/>
      <c r="J32" s="140"/>
      <c r="K32" s="105"/>
      <c r="L32" s="283"/>
      <c r="M32" s="283">
        <v>200000</v>
      </c>
      <c r="N32" s="106"/>
      <c r="O32" s="469"/>
      <c r="P32" s="216" t="e">
        <f>SUMIF(#REF!,'DS SV CT'!#REF!,#REF!)</f>
        <v>#REF!</v>
      </c>
      <c r="Q32" s="216" t="e">
        <f>SUMIF(#REF!,'DS SV CT'!#REF!,#REF!)</f>
        <v>#REF!</v>
      </c>
      <c r="R32" s="134" t="e">
        <f>SUM(#REF!)</f>
        <v>#REF!</v>
      </c>
    </row>
    <row r="33" spans="1:23" hidden="1" x14ac:dyDescent="0.25">
      <c r="A33" s="105">
        <f>IF(B33&lt;&gt;"",COUNTA($B$18:B33),"")</f>
        <v>16</v>
      </c>
      <c r="B33" s="106" t="s">
        <v>185</v>
      </c>
      <c r="C33" s="105" t="s">
        <v>46</v>
      </c>
      <c r="D33" s="107">
        <v>290653230</v>
      </c>
      <c r="E33" s="278">
        <v>5700205105840</v>
      </c>
      <c r="F33" s="278"/>
      <c r="G33" s="113"/>
      <c r="H33" s="108"/>
      <c r="I33" s="108"/>
      <c r="J33" s="108"/>
      <c r="K33" s="106"/>
      <c r="L33" s="283"/>
      <c r="M33" s="283"/>
      <c r="N33" s="106"/>
      <c r="O33" s="106"/>
      <c r="P33" s="216" t="e">
        <f>SUMIF(#REF!,'DS SV CT'!#REF!,#REF!)</f>
        <v>#REF!</v>
      </c>
      <c r="Q33" s="216" t="e">
        <f>SUMIF(#REF!,'DS SV CT'!#REF!,#REF!)</f>
        <v>#REF!</v>
      </c>
    </row>
    <row r="34" spans="1:23" hidden="1" x14ac:dyDescent="0.25">
      <c r="A34" s="105">
        <f>IF(B34&lt;&gt;"",COUNTA($B$18:B34),"")</f>
        <v>17</v>
      </c>
      <c r="B34" s="106" t="s">
        <v>186</v>
      </c>
      <c r="C34" s="105" t="s">
        <v>46</v>
      </c>
      <c r="D34" s="110" t="s">
        <v>187</v>
      </c>
      <c r="E34" s="278">
        <v>5700215025681</v>
      </c>
      <c r="F34" s="278"/>
      <c r="G34" s="113"/>
      <c r="H34" s="108"/>
      <c r="I34" s="108"/>
      <c r="J34" s="108"/>
      <c r="K34" s="106"/>
      <c r="L34" s="283"/>
      <c r="M34" s="283"/>
      <c r="N34" s="106"/>
      <c r="O34" s="106"/>
      <c r="P34" s="216" t="e">
        <f>SUMIF(#REF!,'DS SV CT'!#REF!,#REF!)</f>
        <v>#REF!</v>
      </c>
      <c r="Q34" s="216" t="e">
        <f>SUMIF(#REF!,'DS SV CT'!#REF!,#REF!)</f>
        <v>#REF!</v>
      </c>
    </row>
    <row r="35" spans="1:23" ht="15.75" hidden="1" x14ac:dyDescent="0.25">
      <c r="A35" s="105">
        <f>IF(B35&lt;&gt;"",COUNTA($B$18:B35),"")</f>
        <v>18</v>
      </c>
      <c r="B35" s="144" t="s">
        <v>188</v>
      </c>
      <c r="C35" s="105" t="s">
        <v>46</v>
      </c>
      <c r="D35" s="110"/>
      <c r="E35" s="278">
        <v>5700205611653</v>
      </c>
      <c r="F35" s="278"/>
      <c r="G35" s="145"/>
      <c r="H35" s="108"/>
      <c r="I35" s="108"/>
      <c r="J35" s="108"/>
      <c r="K35" s="106"/>
      <c r="L35" s="283"/>
      <c r="M35" s="283"/>
      <c r="N35" s="106"/>
      <c r="O35" s="106"/>
      <c r="P35" s="216" t="e">
        <f>SUMIF(#REF!,'DS SV CT'!#REF!,#REF!)</f>
        <v>#REF!</v>
      </c>
      <c r="Q35" s="216" t="e">
        <f>SUMIF(#REF!,'DS SV CT'!#REF!,#REF!)</f>
        <v>#REF!</v>
      </c>
    </row>
    <row r="36" spans="1:23" ht="15.75" hidden="1" x14ac:dyDescent="0.25">
      <c r="A36" s="105">
        <f>IF(B36&lt;&gt;"",COUNTA($B$18:B36),"")</f>
        <v>19</v>
      </c>
      <c r="B36" s="146" t="s">
        <v>189</v>
      </c>
      <c r="C36" s="105" t="s">
        <v>190</v>
      </c>
      <c r="D36" s="110" t="s">
        <v>191</v>
      </c>
      <c r="E36" s="285">
        <v>5700215008364</v>
      </c>
      <c r="F36" s="285"/>
      <c r="G36" s="147"/>
      <c r="H36" s="108"/>
      <c r="I36" s="108"/>
      <c r="J36" s="108"/>
      <c r="K36" s="106"/>
      <c r="L36" s="283"/>
      <c r="M36" s="283"/>
      <c r="N36" s="106"/>
      <c r="O36" s="106"/>
      <c r="P36" s="216" t="e">
        <f>SUMIF(#REF!,'DS SV CT'!#REF!,#REF!)</f>
        <v>#REF!</v>
      </c>
      <c r="Q36" s="216" t="e">
        <f>SUMIF(#REF!,'DS SV CT'!#REF!,#REF!)</f>
        <v>#REF!</v>
      </c>
    </row>
    <row r="37" spans="1:23" ht="15.75" hidden="1" x14ac:dyDescent="0.25">
      <c r="A37" s="105">
        <f>IF(B37&lt;&gt;"",COUNTA($B$18:B37),"")</f>
        <v>20</v>
      </c>
      <c r="B37" s="144" t="s">
        <v>192</v>
      </c>
      <c r="C37" s="105" t="s">
        <v>190</v>
      </c>
      <c r="D37" s="110" t="s">
        <v>193</v>
      </c>
      <c r="E37" s="286">
        <v>5706215000407</v>
      </c>
      <c r="F37" s="286"/>
      <c r="G37" s="148"/>
      <c r="H37" s="108"/>
      <c r="I37" s="108"/>
      <c r="J37" s="108"/>
      <c r="K37" s="106"/>
      <c r="L37" s="283"/>
      <c r="M37" s="283"/>
      <c r="N37" s="106"/>
      <c r="O37" s="106"/>
      <c r="P37" s="216" t="e">
        <f>SUMIF(#REF!,'DS SV CT'!#REF!,#REF!)</f>
        <v>#REF!</v>
      </c>
      <c r="Q37" s="216" t="e">
        <f>SUMIF(#REF!,'DS SV CT'!#REF!,#REF!)</f>
        <v>#REF!</v>
      </c>
    </row>
    <row r="38" spans="1:23" ht="15.75" hidden="1" x14ac:dyDescent="0.25">
      <c r="A38" s="105">
        <f>IF(B38&lt;&gt;"",COUNTA($B$18:B38),"")</f>
        <v>21</v>
      </c>
      <c r="B38" s="144" t="s">
        <v>194</v>
      </c>
      <c r="C38" s="105" t="s">
        <v>46</v>
      </c>
      <c r="D38" s="110" t="s">
        <v>195</v>
      </c>
      <c r="E38" s="285">
        <v>5700215023561</v>
      </c>
      <c r="F38" s="285"/>
      <c r="G38" s="147"/>
      <c r="H38" s="108"/>
      <c r="I38" s="108"/>
      <c r="J38" s="108"/>
      <c r="K38" s="106"/>
      <c r="L38" s="283"/>
      <c r="M38" s="283"/>
      <c r="N38" s="106"/>
      <c r="O38" s="106"/>
      <c r="P38" s="216" t="e">
        <f>SUMIF(#REF!,'DS SV CT'!#REF!,#REF!)</f>
        <v>#REF!</v>
      </c>
      <c r="Q38" s="216" t="e">
        <f>SUMIF(#REF!,'DS SV CT'!#REF!,#REF!)</f>
        <v>#REF!</v>
      </c>
    </row>
    <row r="39" spans="1:23" s="100" customFormat="1" ht="18.75" customHeight="1" x14ac:dyDescent="0.25">
      <c r="A39" s="99" t="s">
        <v>199</v>
      </c>
      <c r="B39" s="297" t="s">
        <v>305</v>
      </c>
      <c r="C39" s="99"/>
      <c r="D39" s="115"/>
      <c r="E39" s="298"/>
      <c r="F39" s="298"/>
      <c r="G39" s="299">
        <f t="shared" ref="G39:O39" si="1">SUM(G40:G40)</f>
        <v>300000</v>
      </c>
      <c r="H39" s="299">
        <f t="shared" si="1"/>
        <v>0</v>
      </c>
      <c r="I39" s="299">
        <f t="shared" si="1"/>
        <v>0</v>
      </c>
      <c r="J39" s="299">
        <f t="shared" si="1"/>
        <v>0</v>
      </c>
      <c r="K39" s="299">
        <f t="shared" si="1"/>
        <v>0</v>
      </c>
      <c r="L39" s="299">
        <f t="shared" si="1"/>
        <v>0</v>
      </c>
      <c r="M39" s="423">
        <f t="shared" si="1"/>
        <v>300000</v>
      </c>
      <c r="N39" s="299">
        <f t="shared" si="1"/>
        <v>0</v>
      </c>
      <c r="O39" s="299">
        <f t="shared" si="1"/>
        <v>0</v>
      </c>
      <c r="P39" s="300"/>
      <c r="Q39" s="300"/>
      <c r="R39" s="134"/>
      <c r="T39" s="134"/>
      <c r="U39" s="134"/>
      <c r="V39" s="134"/>
      <c r="W39" s="134"/>
    </row>
    <row r="40" spans="1:23" s="100" customFormat="1" x14ac:dyDescent="0.25">
      <c r="A40" s="105">
        <v>1</v>
      </c>
      <c r="B40" s="106" t="s">
        <v>74</v>
      </c>
      <c r="C40" s="105" t="s">
        <v>75</v>
      </c>
      <c r="D40" s="118">
        <v>290332545</v>
      </c>
      <c r="E40" s="284">
        <v>5700205047976</v>
      </c>
      <c r="F40" s="143" t="s">
        <v>168</v>
      </c>
      <c r="G40" s="108">
        <f>SUM(H40:N40)</f>
        <v>300000</v>
      </c>
      <c r="H40" s="140"/>
      <c r="I40" s="140"/>
      <c r="J40" s="108"/>
      <c r="K40" s="106"/>
      <c r="L40" s="283"/>
      <c r="M40" s="283">
        <v>300000</v>
      </c>
      <c r="N40" s="106"/>
      <c r="O40" s="106"/>
      <c r="P40" s="300"/>
      <c r="Q40" s="300"/>
      <c r="R40" s="134"/>
      <c r="T40" s="134"/>
      <c r="U40" s="134"/>
      <c r="V40" s="134"/>
      <c r="W40" s="134"/>
    </row>
    <row r="41" spans="1:23" hidden="1" x14ac:dyDescent="0.25">
      <c r="A41" s="105">
        <f>IF(B41&lt;&gt;"",COUNTA($B$18:B41),"")</f>
        <v>24</v>
      </c>
      <c r="B41" s="106" t="s">
        <v>198</v>
      </c>
      <c r="C41" s="105" t="s">
        <v>46</v>
      </c>
      <c r="D41" s="110">
        <v>290903007</v>
      </c>
      <c r="E41" s="278">
        <v>5700205561866</v>
      </c>
      <c r="F41" s="278"/>
      <c r="G41" s="113"/>
      <c r="H41" s="108"/>
      <c r="I41" s="108"/>
      <c r="J41" s="108"/>
      <c r="K41" s="106"/>
      <c r="L41" s="283"/>
      <c r="M41" s="283"/>
      <c r="N41" s="106"/>
      <c r="O41" s="106"/>
      <c r="P41" s="216" t="e">
        <f>SUMIF(#REF!,'DS SV CT'!#REF!,#REF!)</f>
        <v>#REF!</v>
      </c>
      <c r="Q41" s="216" t="e">
        <f>SUMIF(#REF!,'DS SV CT'!#REF!,#REF!)</f>
        <v>#REF!</v>
      </c>
    </row>
    <row r="42" spans="1:23" s="100" customFormat="1" ht="19.5" customHeight="1" x14ac:dyDescent="0.35">
      <c r="A42" s="99" t="s">
        <v>289</v>
      </c>
      <c r="B42" s="114" t="s">
        <v>291</v>
      </c>
      <c r="C42" s="99"/>
      <c r="D42" s="115"/>
      <c r="E42" s="280"/>
      <c r="F42" s="280"/>
      <c r="G42" s="117"/>
      <c r="H42" s="117"/>
      <c r="I42" s="117"/>
      <c r="J42" s="117"/>
      <c r="K42" s="117"/>
      <c r="L42" s="117"/>
      <c r="M42" s="117"/>
      <c r="N42" s="117"/>
      <c r="O42" s="117"/>
      <c r="P42" s="216" t="e">
        <f>SUMIF(#REF!,'DS SV CT'!#REF!,#REF!)</f>
        <v>#REF!</v>
      </c>
      <c r="Q42" s="216" t="e">
        <f>SUMIF(#REF!,'DS SV CT'!#REF!,#REF!)</f>
        <v>#REF!</v>
      </c>
      <c r="R42" s="134"/>
      <c r="S42" s="149">
        <f>SUM(S44:S61)</f>
        <v>119440992</v>
      </c>
      <c r="T42" s="134" t="e">
        <f>R32-S42</f>
        <v>#REF!</v>
      </c>
      <c r="U42" s="134"/>
      <c r="V42" s="134"/>
      <c r="W42" s="134"/>
    </row>
    <row r="43" spans="1:23" s="100" customFormat="1" ht="19.5" customHeight="1" x14ac:dyDescent="0.35">
      <c r="A43" s="517"/>
      <c r="B43" s="518"/>
      <c r="C43" s="517"/>
      <c r="D43" s="519"/>
      <c r="E43" s="520"/>
      <c r="F43" s="520"/>
      <c r="G43" s="521"/>
      <c r="H43" s="521"/>
      <c r="I43" s="521"/>
      <c r="J43" s="521"/>
      <c r="K43" s="521"/>
      <c r="L43" s="521"/>
      <c r="M43" s="521"/>
      <c r="N43" s="521"/>
      <c r="O43" s="521"/>
      <c r="P43" s="216"/>
      <c r="Q43" s="216"/>
      <c r="R43" s="134"/>
      <c r="S43" s="149"/>
      <c r="T43" s="134"/>
      <c r="U43" s="134"/>
      <c r="V43" s="134"/>
      <c r="W43" s="134"/>
    </row>
    <row r="44" spans="1:23" ht="24" customHeight="1" x14ac:dyDescent="0.25">
      <c r="A44" s="763" t="s">
        <v>341</v>
      </c>
      <c r="B44" s="763"/>
      <c r="C44" s="763"/>
      <c r="D44" s="763"/>
      <c r="E44" s="763"/>
      <c r="F44" s="763"/>
      <c r="G44" s="763"/>
      <c r="H44" s="763"/>
      <c r="I44" s="763"/>
      <c r="J44" s="763"/>
      <c r="K44" s="763"/>
      <c r="L44" s="763"/>
      <c r="M44" s="763"/>
      <c r="N44" s="763"/>
      <c r="O44" s="763"/>
      <c r="R44" s="95">
        <v>6115</v>
      </c>
      <c r="S44" s="150">
        <f t="shared" ref="S44:S45" si="2">SUM(T44:W44)</f>
        <v>2319425</v>
      </c>
      <c r="T44" s="95">
        <v>2319425</v>
      </c>
    </row>
    <row r="45" spans="1:23" ht="28.5" customHeight="1" x14ac:dyDescent="0.25">
      <c r="A45" s="764" t="s">
        <v>342</v>
      </c>
      <c r="B45" s="765"/>
      <c r="C45" s="765"/>
      <c r="D45" s="765"/>
      <c r="E45" s="765"/>
      <c r="F45" s="765"/>
      <c r="G45" s="765"/>
      <c r="H45" s="765"/>
      <c r="I45" s="765"/>
      <c r="J45" s="765"/>
      <c r="K45" s="765"/>
      <c r="L45" s="765"/>
      <c r="M45" s="765"/>
      <c r="N45" s="765"/>
      <c r="O45" s="765"/>
      <c r="R45" s="95">
        <v>6124</v>
      </c>
      <c r="S45" s="301">
        <f t="shared" si="2"/>
        <v>45047987</v>
      </c>
      <c r="T45" s="95">
        <f>831875</f>
        <v>831875</v>
      </c>
      <c r="U45" s="95">
        <v>39180738</v>
      </c>
      <c r="V45" s="95">
        <v>12100</v>
      </c>
      <c r="W45" s="95">
        <v>5023274</v>
      </c>
    </row>
    <row r="46" spans="1:23" ht="28.5" customHeight="1" x14ac:dyDescent="0.25">
      <c r="A46" s="516"/>
      <c r="B46" s="515"/>
      <c r="C46" s="515"/>
      <c r="D46" s="515"/>
      <c r="E46" s="515"/>
      <c r="F46" s="515"/>
      <c r="G46" s="515"/>
      <c r="H46" s="515"/>
      <c r="I46" s="515"/>
      <c r="J46" s="515"/>
      <c r="K46" s="515"/>
      <c r="L46" s="515"/>
      <c r="M46" s="515"/>
      <c r="N46" s="515"/>
      <c r="O46" s="515"/>
      <c r="S46" s="301"/>
    </row>
    <row r="47" spans="1:23" ht="28.5" customHeight="1" x14ac:dyDescent="0.25">
      <c r="A47" s="516"/>
      <c r="B47" s="515"/>
      <c r="C47" s="515"/>
      <c r="D47" s="515"/>
      <c r="E47" s="515"/>
      <c r="F47" s="515"/>
      <c r="G47" s="515"/>
      <c r="H47" s="515"/>
      <c r="I47" s="515"/>
      <c r="J47" s="515"/>
      <c r="K47" s="515"/>
      <c r="L47" s="515"/>
      <c r="M47" s="515"/>
      <c r="N47" s="515"/>
      <c r="O47" s="515"/>
      <c r="S47" s="301"/>
    </row>
    <row r="48" spans="1:23" ht="14.25" customHeight="1" x14ac:dyDescent="0.25">
      <c r="A48" s="421"/>
      <c r="B48" s="421"/>
      <c r="C48" s="421"/>
      <c r="D48" s="421"/>
      <c r="E48" s="421"/>
      <c r="F48" s="421"/>
      <c r="G48" s="421"/>
      <c r="H48" s="421"/>
      <c r="I48" s="421"/>
      <c r="J48" s="421"/>
      <c r="K48" s="421"/>
      <c r="L48" s="421"/>
      <c r="M48" s="421"/>
      <c r="N48" s="421"/>
      <c r="O48" s="421"/>
      <c r="S48" s="301"/>
    </row>
    <row r="49" spans="1:23" ht="9.75" customHeight="1" x14ac:dyDescent="0.25">
      <c r="A49" s="119"/>
      <c r="B49" s="120"/>
      <c r="C49" s="120"/>
      <c r="D49" s="120"/>
      <c r="E49" s="120"/>
      <c r="F49" s="120"/>
      <c r="G49" s="219"/>
      <c r="H49" s="120"/>
      <c r="I49" s="120"/>
      <c r="J49" s="120"/>
      <c r="K49" s="120"/>
      <c r="S49" s="150"/>
    </row>
    <row r="50" spans="1:23" ht="15" customHeight="1" x14ac:dyDescent="0.25">
      <c r="A50" s="119"/>
      <c r="B50" s="120"/>
      <c r="C50" s="120"/>
      <c r="D50" s="120"/>
      <c r="E50" s="120"/>
      <c r="F50" s="120"/>
      <c r="G50" s="220"/>
      <c r="H50" s="120"/>
      <c r="I50" s="766" t="s">
        <v>335</v>
      </c>
      <c r="J50" s="766"/>
      <c r="K50" s="766"/>
      <c r="L50" s="766"/>
      <c r="M50" s="766"/>
      <c r="N50" s="766"/>
      <c r="O50" s="766"/>
      <c r="S50" s="151">
        <f>SUM(S44:S45)</f>
        <v>47367412</v>
      </c>
    </row>
    <row r="51" spans="1:23" x14ac:dyDescent="0.25">
      <c r="A51" s="760" t="s">
        <v>296</v>
      </c>
      <c r="B51" s="760"/>
      <c r="C51" s="121" t="s">
        <v>218</v>
      </c>
      <c r="D51" s="121"/>
      <c r="F51" s="513" t="s">
        <v>219</v>
      </c>
      <c r="G51" s="121"/>
      <c r="H51" s="121"/>
      <c r="I51" s="760" t="s">
        <v>117</v>
      </c>
      <c r="J51" s="760"/>
      <c r="K51" s="760"/>
      <c r="L51" s="760"/>
      <c r="M51" s="760"/>
      <c r="N51" s="760"/>
      <c r="O51" s="760"/>
      <c r="Q51" s="313" t="e">
        <f>G16</f>
        <v>#REF!</v>
      </c>
    </row>
    <row r="52" spans="1:23" x14ac:dyDescent="0.25">
      <c r="R52" s="95" t="s">
        <v>220</v>
      </c>
      <c r="S52" s="151">
        <f>SUM(S56:S61)</f>
        <v>12353084</v>
      </c>
    </row>
    <row r="53" spans="1:23" x14ac:dyDescent="0.25">
      <c r="S53" s="151"/>
    </row>
    <row r="54" spans="1:23" x14ac:dyDescent="0.25">
      <c r="F54" s="301"/>
      <c r="S54" s="151"/>
    </row>
    <row r="55" spans="1:23" x14ac:dyDescent="0.25">
      <c r="S55" s="151"/>
    </row>
    <row r="56" spans="1:23" x14ac:dyDescent="0.25">
      <c r="R56" s="95">
        <v>6099</v>
      </c>
      <c r="S56" s="150">
        <f>SUM(T56:W56)</f>
        <v>0</v>
      </c>
    </row>
    <row r="57" spans="1:23" x14ac:dyDescent="0.25">
      <c r="A57" s="760" t="s">
        <v>297</v>
      </c>
      <c r="B57" s="760"/>
      <c r="C57" s="100"/>
      <c r="D57" s="122"/>
      <c r="E57" s="100"/>
      <c r="F57" s="100" t="s">
        <v>55</v>
      </c>
      <c r="I57" s="761" t="s">
        <v>23</v>
      </c>
      <c r="J57" s="761"/>
      <c r="K57" s="761"/>
      <c r="L57" s="761"/>
      <c r="M57" s="761"/>
      <c r="N57" s="761"/>
      <c r="O57" s="761"/>
      <c r="R57" s="95">
        <v>6101</v>
      </c>
      <c r="S57" s="150">
        <f>SUM(T57:W57)</f>
        <v>1799140</v>
      </c>
      <c r="T57" s="95">
        <v>1799140</v>
      </c>
    </row>
    <row r="58" spans="1:23" x14ac:dyDescent="0.25">
      <c r="A58" s="513"/>
      <c r="B58" s="513"/>
      <c r="C58" s="100"/>
      <c r="D58" s="122"/>
      <c r="E58" s="100"/>
      <c r="F58" s="100"/>
      <c r="S58" s="150"/>
    </row>
    <row r="59" spans="1:23" x14ac:dyDescent="0.25">
      <c r="R59" s="95">
        <v>6113</v>
      </c>
      <c r="S59" s="150">
        <f>SUM(T59:W59)</f>
        <v>758100</v>
      </c>
      <c r="T59" s="95">
        <v>758100</v>
      </c>
      <c r="V59" s="93"/>
      <c r="W59" s="93"/>
    </row>
    <row r="60" spans="1:23" x14ac:dyDescent="0.25">
      <c r="A60" s="760" t="s">
        <v>221</v>
      </c>
      <c r="B60" s="760"/>
      <c r="C60" s="760"/>
      <c r="D60" s="760"/>
      <c r="E60" s="760"/>
      <c r="F60" s="760"/>
      <c r="G60" s="760"/>
      <c r="H60" s="760"/>
      <c r="I60" s="760"/>
      <c r="J60" s="760"/>
      <c r="K60" s="760"/>
      <c r="L60" s="760"/>
      <c r="M60" s="760"/>
      <c r="N60" s="760"/>
      <c r="O60" s="760"/>
      <c r="R60" s="95">
        <v>6115</v>
      </c>
      <c r="S60" s="150">
        <f>SUM(T60:W60)</f>
        <v>536727</v>
      </c>
      <c r="T60" s="95">
        <v>536727</v>
      </c>
      <c r="V60" s="93"/>
      <c r="W60" s="93"/>
    </row>
    <row r="61" spans="1:23" x14ac:dyDescent="0.25">
      <c r="A61" s="760" t="s">
        <v>222</v>
      </c>
      <c r="B61" s="760"/>
      <c r="C61" s="760"/>
      <c r="D61" s="760"/>
      <c r="E61" s="760"/>
      <c r="F61" s="760"/>
      <c r="G61" s="121"/>
      <c r="H61" s="762" t="s">
        <v>287</v>
      </c>
      <c r="I61" s="762"/>
      <c r="J61" s="762"/>
      <c r="K61" s="762"/>
      <c r="L61" s="762"/>
      <c r="M61" s="762"/>
      <c r="R61" s="95">
        <v>6124</v>
      </c>
      <c r="S61" s="150">
        <f>SUM(T61:W61)</f>
        <v>9259117</v>
      </c>
      <c r="T61" s="95">
        <v>9066617</v>
      </c>
      <c r="U61" s="95">
        <v>192500</v>
      </c>
      <c r="V61" s="93"/>
      <c r="W61" s="93"/>
    </row>
    <row r="62" spans="1:23" x14ac:dyDescent="0.25">
      <c r="A62" s="123"/>
      <c r="B62" s="123"/>
      <c r="C62" s="123"/>
      <c r="D62" s="123"/>
      <c r="E62" s="123"/>
      <c r="F62" s="123"/>
      <c r="G62" s="123"/>
      <c r="H62" s="121" t="s">
        <v>223</v>
      </c>
      <c r="I62" s="121"/>
      <c r="J62" s="121"/>
      <c r="V62" s="93"/>
      <c r="W62" s="93"/>
    </row>
    <row r="63" spans="1:23" x14ac:dyDescent="0.25">
      <c r="H63" s="152" t="s">
        <v>224</v>
      </c>
      <c r="I63" s="152"/>
      <c r="J63" s="152"/>
      <c r="V63" s="93"/>
      <c r="W63" s="93"/>
    </row>
    <row r="64" spans="1:23" x14ac:dyDescent="0.25">
      <c r="H64" s="152"/>
      <c r="I64" s="152"/>
      <c r="J64" s="152"/>
      <c r="V64" s="93"/>
      <c r="W64" s="93"/>
    </row>
    <row r="66" spans="18:23" x14ac:dyDescent="0.25">
      <c r="R66" s="95" t="s">
        <v>307</v>
      </c>
      <c r="S66" s="93" t="s">
        <v>308</v>
      </c>
      <c r="V66" s="93"/>
      <c r="W66" s="93"/>
    </row>
    <row r="67" spans="18:23" x14ac:dyDescent="0.25">
      <c r="R67" s="95">
        <v>248567401</v>
      </c>
      <c r="S67" s="93" t="s">
        <v>309</v>
      </c>
      <c r="T67" s="95">
        <f>217801100+71199</f>
        <v>217872299</v>
      </c>
      <c r="V67" s="93"/>
      <c r="W67" s="93"/>
    </row>
    <row r="68" spans="18:23" x14ac:dyDescent="0.25">
      <c r="S68" s="93" t="s">
        <v>310</v>
      </c>
      <c r="T68" s="95">
        <v>17376000</v>
      </c>
      <c r="V68" s="93"/>
      <c r="W68" s="93"/>
    </row>
    <row r="69" spans="18:23" x14ac:dyDescent="0.25">
      <c r="S69" s="93" t="s">
        <v>311</v>
      </c>
      <c r="T69" s="95">
        <v>4100000</v>
      </c>
      <c r="V69" s="93"/>
      <c r="W69" s="93"/>
    </row>
    <row r="70" spans="18:23" x14ac:dyDescent="0.25">
      <c r="S70" s="93" t="s">
        <v>226</v>
      </c>
      <c r="T70" s="95">
        <v>1850000</v>
      </c>
      <c r="V70" s="93"/>
      <c r="W70" s="93"/>
    </row>
    <row r="71" spans="18:23" x14ac:dyDescent="0.25">
      <c r="S71" s="93" t="s">
        <v>312</v>
      </c>
      <c r="T71" s="95">
        <v>3580000</v>
      </c>
      <c r="V71" s="93"/>
      <c r="W71" s="93"/>
    </row>
    <row r="72" spans="18:23" x14ac:dyDescent="0.25">
      <c r="R72" s="95">
        <f>R67</f>
        <v>248567401</v>
      </c>
      <c r="S72" s="301"/>
      <c r="T72" s="301">
        <f>SUM(T67:T71)</f>
        <v>244778299</v>
      </c>
      <c r="V72" s="93"/>
      <c r="W72" s="93"/>
    </row>
    <row r="73" spans="18:23" x14ac:dyDescent="0.25">
      <c r="T73" s="95">
        <f>R72-T72</f>
        <v>3789102</v>
      </c>
      <c r="V73" s="93"/>
      <c r="W73" s="93"/>
    </row>
  </sheetData>
  <mergeCells count="23">
    <mergeCell ref="I8:K8"/>
    <mergeCell ref="L1:O1"/>
    <mergeCell ref="L2:O2"/>
    <mergeCell ref="L3:O3"/>
    <mergeCell ref="A4:O4"/>
    <mergeCell ref="A5:O5"/>
    <mergeCell ref="N12:O12"/>
    <mergeCell ref="A13:A14"/>
    <mergeCell ref="B13:B14"/>
    <mergeCell ref="E13:F13"/>
    <mergeCell ref="G13:G14"/>
    <mergeCell ref="H13:N13"/>
    <mergeCell ref="O13:O14"/>
    <mergeCell ref="A44:O44"/>
    <mergeCell ref="A45:O45"/>
    <mergeCell ref="I50:O50"/>
    <mergeCell ref="A51:B51"/>
    <mergeCell ref="I51:O51"/>
    <mergeCell ref="A57:B57"/>
    <mergeCell ref="I57:O57"/>
    <mergeCell ref="A60:O60"/>
    <mergeCell ref="A61:F61"/>
    <mergeCell ref="H61:M61"/>
  </mergeCells>
  <pageMargins left="0.45" right="0.45" top="0.5" bottom="0.25" header="0.3" footer="0.3"/>
  <pageSetup scale="8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NH</vt:lpstr>
      <vt:lpstr>DS SV CT</vt:lpstr>
      <vt:lpstr>DS SV CT PL257PLHĐĐT-2023</vt:lpstr>
      <vt:lpstr>TRUY TNVK T11</vt:lpstr>
      <vt:lpstr>tRUY t4</vt:lpstr>
      <vt:lpstr>truy đóng BHTN 161</vt:lpstr>
      <vt:lpstr>Sheet1</vt:lpstr>
      <vt:lpstr>Sheet2</vt:lpstr>
      <vt:lpstr>NH!Print_Area</vt:lpstr>
      <vt:lpstr>'DS SV CT'!Print_Titles</vt:lpstr>
      <vt:lpstr>'DS SV CT PL257PLHĐĐT-2023'!Print_Titles</vt:lpstr>
      <vt:lpstr>NH!Print_Titles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Administrator</cp:lastModifiedBy>
  <cp:lastPrinted>2023-11-27T08:38:19Z</cp:lastPrinted>
  <dcterms:created xsi:type="dcterms:W3CDTF">2020-05-15T14:30:25Z</dcterms:created>
  <dcterms:modified xsi:type="dcterms:W3CDTF">2023-11-27T09:16:53Z</dcterms:modified>
</cp:coreProperties>
</file>